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采购清单" sheetId="1" r:id="rId1"/>
  </sheets>
  <definedNames>
    <definedName name="_xlnm._FilterDatabase" localSheetId="0" hidden="1">采购清单!$A$2:$N$234</definedName>
    <definedName name="_xlnm.Print_Titles" localSheetId="0">采购清单!$1:$3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88" name="ID_B16657E8ECA34D2389840DBA1AAFF0E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32505" y="21983700"/>
          <a:ext cx="94742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9" name="ID_A8249A5C5AB84AD0A9806EC7B5FA05F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8230" y="23364825"/>
          <a:ext cx="75692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ADF56C3FC44B4E61AF72ECEC484BFE6D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3585845" y="25137110"/>
          <a:ext cx="685800" cy="654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11ECC2BD89784285AD1189FF4158F9E4"/>
        <xdr:cNvPicPr>
          <a:picLocks noChangeAspect="1"/>
        </xdr:cNvPicPr>
      </xdr:nvPicPr>
      <xdr:blipFill>
        <a:blip r:embed="rId5" r:link="rId4"/>
        <a:stretch>
          <a:fillRect/>
        </a:stretch>
      </xdr:blipFill>
      <xdr:spPr>
        <a:xfrm>
          <a:off x="3559175" y="25932765"/>
          <a:ext cx="657860" cy="618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C19EEC040E344B2CB9B1FF371B2C4659"/>
        <xdr:cNvPicPr>
          <a:picLocks noChangeAspect="1"/>
        </xdr:cNvPicPr>
      </xdr:nvPicPr>
      <xdr:blipFill>
        <a:blip r:embed="rId6" r:link="rId4"/>
        <a:stretch>
          <a:fillRect/>
        </a:stretch>
      </xdr:blipFill>
      <xdr:spPr>
        <a:xfrm>
          <a:off x="3599180" y="15324455"/>
          <a:ext cx="514985" cy="6203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0" name="ID_0973DE2D22F44BA2872B266A5CB4F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28060" y="14479270"/>
          <a:ext cx="693420" cy="719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9F568E8FDA814AA9875153B3B5337545"/>
        <xdr:cNvPicPr>
          <a:picLocks noChangeAspect="1"/>
        </xdr:cNvPicPr>
      </xdr:nvPicPr>
      <xdr:blipFill>
        <a:blip r:embed="rId8" r:link="rId4"/>
        <a:stretch>
          <a:fillRect/>
        </a:stretch>
      </xdr:blipFill>
      <xdr:spPr>
        <a:xfrm>
          <a:off x="3552825" y="13792835"/>
          <a:ext cx="580390" cy="589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3" name="ID_CB11C529E8114A218A318ABACD8C60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602990" y="17868900"/>
          <a:ext cx="686435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1" name="ID_8B7DDFB8C80941C4A285C905B7697D4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653155" y="16080105"/>
          <a:ext cx="567690" cy="731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2" name="ID_DB0E7AB7F1564C0FAD78D04999E8EC4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558540" y="16917035"/>
          <a:ext cx="687070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0" name="ID_B99FD3D8C32B4F4DA9ABC51381474D5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656330" y="19881850"/>
          <a:ext cx="685800" cy="788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87E622FF38745EA99F88E003ECE4DE1"/>
        <xdr:cNvPicPr>
          <a:picLocks noChangeAspect="1"/>
        </xdr:cNvPicPr>
      </xdr:nvPicPr>
      <xdr:blipFill>
        <a:blip r:embed="rId12" r:link="rId4"/>
        <a:stretch>
          <a:fillRect/>
        </a:stretch>
      </xdr:blipFill>
      <xdr:spPr>
        <a:xfrm>
          <a:off x="3572510" y="18722340"/>
          <a:ext cx="647700" cy="777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1" name="ID_97F44008F22E4E4DAF439486B6DD01E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637280" y="20808950"/>
          <a:ext cx="667385" cy="881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6" name="ID_3564C3EB2FA743649A5D242A25FF7509"/>
        <xdr:cNvPicPr>
          <a:picLocks noChangeAspect="1"/>
        </xdr:cNvPicPr>
      </xdr:nvPicPr>
      <xdr:blipFill>
        <a:blip r:embed="rId14" r:link="rId4"/>
        <a:stretch>
          <a:fillRect/>
        </a:stretch>
      </xdr:blipFill>
      <xdr:spPr>
        <a:xfrm>
          <a:off x="3522980" y="116170075"/>
          <a:ext cx="665480" cy="8121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7" name="ID_C200EDBF3F31448D907AF6632F89B3D7"/>
        <xdr:cNvPicPr>
          <a:picLocks noChangeAspect="1"/>
        </xdr:cNvPicPr>
      </xdr:nvPicPr>
      <xdr:blipFill>
        <a:blip r:embed="rId15" r:link="rId4"/>
        <a:stretch>
          <a:fillRect/>
        </a:stretch>
      </xdr:blipFill>
      <xdr:spPr>
        <a:xfrm>
          <a:off x="3532505" y="117081300"/>
          <a:ext cx="800100" cy="85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5" name="ID_A1CB196DF94A47E781DAE1923FCF30C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559810" y="143596360"/>
          <a:ext cx="716915" cy="720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4" name="ID_14EF1F0C086944449F4DC483430E620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593465" y="142833725"/>
          <a:ext cx="586105" cy="601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8" name="ID_4221CB6B79FF41F78AC356CFBCFF975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751580" y="63807975"/>
          <a:ext cx="438785" cy="727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6" name="ID_7D642F9CE5804AFDA2CC5C9677B4C1E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657600" y="65401190"/>
          <a:ext cx="579120" cy="387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E86140AB39E843B2BDB24F027BCC7B5E"/>
        <xdr:cNvPicPr>
          <a:picLocks noChangeAspect="1"/>
        </xdr:cNvPicPr>
      </xdr:nvPicPr>
      <xdr:blipFill>
        <a:blip r:embed="rId20" r:link="rId4"/>
        <a:stretch>
          <a:fillRect/>
        </a:stretch>
      </xdr:blipFill>
      <xdr:spPr>
        <a:xfrm>
          <a:off x="3703955" y="64770000"/>
          <a:ext cx="333375" cy="4876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8ED52971E1AB45DC8E19F8CE0D360D9A"/>
        <xdr:cNvPicPr>
          <a:picLocks noChangeAspect="1"/>
        </xdr:cNvPicPr>
      </xdr:nvPicPr>
      <xdr:blipFill>
        <a:blip r:embed="rId21" r:link="rId4"/>
        <a:stretch>
          <a:fillRect/>
        </a:stretch>
      </xdr:blipFill>
      <xdr:spPr>
        <a:xfrm>
          <a:off x="3694430" y="65838070"/>
          <a:ext cx="457200" cy="507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109AC3153C5545EDA79EC14818C35354"/>
        <xdr:cNvPicPr>
          <a:picLocks noChangeAspect="1"/>
        </xdr:cNvPicPr>
      </xdr:nvPicPr>
      <xdr:blipFill>
        <a:blip r:embed="rId22" r:link="rId4"/>
        <a:stretch>
          <a:fillRect/>
        </a:stretch>
      </xdr:blipFill>
      <xdr:spPr>
        <a:xfrm>
          <a:off x="3646170" y="66549905"/>
          <a:ext cx="562610" cy="4273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ADFD996E96C2431BBA2E3D2A0B57926C"/>
        <xdr:cNvPicPr>
          <a:picLocks noChangeAspect="1"/>
        </xdr:cNvPicPr>
      </xdr:nvPicPr>
      <xdr:blipFill>
        <a:blip r:embed="rId23" r:link="rId4"/>
        <a:stretch>
          <a:fillRect/>
        </a:stretch>
      </xdr:blipFill>
      <xdr:spPr>
        <a:xfrm>
          <a:off x="3694430" y="67617975"/>
          <a:ext cx="438150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2A27A00A6E864ECB86A22A9A95692F54"/>
        <xdr:cNvPicPr>
          <a:picLocks noChangeAspect="1"/>
        </xdr:cNvPicPr>
      </xdr:nvPicPr>
      <xdr:blipFill>
        <a:blip r:embed="rId24" r:link="rId4"/>
        <a:stretch>
          <a:fillRect/>
        </a:stretch>
      </xdr:blipFill>
      <xdr:spPr>
        <a:xfrm>
          <a:off x="3632835" y="67087750"/>
          <a:ext cx="556895" cy="501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DDBD0467DD02424A9F987348536CC732"/>
        <xdr:cNvPicPr>
          <a:picLocks noChangeAspect="1"/>
        </xdr:cNvPicPr>
      </xdr:nvPicPr>
      <xdr:blipFill>
        <a:blip r:embed="rId25" r:link="rId4"/>
        <a:stretch>
          <a:fillRect/>
        </a:stretch>
      </xdr:blipFill>
      <xdr:spPr>
        <a:xfrm>
          <a:off x="3665855" y="68402200"/>
          <a:ext cx="358140" cy="655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3243104F3A8D4C8EA20713E36EFEF219"/>
        <xdr:cNvPicPr>
          <a:picLocks noChangeAspect="1"/>
        </xdr:cNvPicPr>
      </xdr:nvPicPr>
      <xdr:blipFill>
        <a:blip r:embed="rId26" r:link="rId4"/>
        <a:stretch>
          <a:fillRect/>
        </a:stretch>
      </xdr:blipFill>
      <xdr:spPr>
        <a:xfrm>
          <a:off x="3522980" y="69967475"/>
          <a:ext cx="736600" cy="24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504B7759D46740798DA948432FAEBF5E"/>
        <xdr:cNvPicPr>
          <a:picLocks noChangeAspect="1"/>
        </xdr:cNvPicPr>
      </xdr:nvPicPr>
      <xdr:blipFill>
        <a:blip r:embed="rId27" r:link="rId4"/>
        <a:stretch>
          <a:fillRect/>
        </a:stretch>
      </xdr:blipFill>
      <xdr:spPr>
        <a:xfrm>
          <a:off x="3542030" y="69415025"/>
          <a:ext cx="791210" cy="238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5463A89DE56E44D49FD503E979E8418F"/>
        <xdr:cNvPicPr>
          <a:picLocks noChangeAspect="1"/>
        </xdr:cNvPicPr>
      </xdr:nvPicPr>
      <xdr:blipFill>
        <a:blip r:embed="rId28" r:link="rId4"/>
        <a:stretch>
          <a:fillRect/>
        </a:stretch>
      </xdr:blipFill>
      <xdr:spPr>
        <a:xfrm>
          <a:off x="3665855" y="856615"/>
          <a:ext cx="552450" cy="64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EF4E86FF6154A22BC706F28B02D427C"/>
        <xdr:cNvPicPr>
          <a:picLocks noChangeAspect="1"/>
        </xdr:cNvPicPr>
      </xdr:nvPicPr>
      <xdr:blipFill>
        <a:blip r:embed="rId29" r:link="rId4"/>
        <a:stretch>
          <a:fillRect/>
        </a:stretch>
      </xdr:blipFill>
      <xdr:spPr>
        <a:xfrm>
          <a:off x="3627755" y="1609725"/>
          <a:ext cx="552450" cy="637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9" name="ID_5E50594BBC124B389B69C384A7D5242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504565" y="6322695"/>
          <a:ext cx="866775" cy="8369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EC513FD9BF9A4282A3E94268FB72C82B"/>
        <xdr:cNvPicPr>
          <a:picLocks noChangeAspect="1"/>
        </xdr:cNvPicPr>
      </xdr:nvPicPr>
      <xdr:blipFill>
        <a:blip r:embed="rId31" r:link="rId4"/>
        <a:stretch>
          <a:fillRect/>
        </a:stretch>
      </xdr:blipFill>
      <xdr:spPr>
        <a:xfrm>
          <a:off x="3589655" y="4041775"/>
          <a:ext cx="581660" cy="764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B5D8B83B1DBE4182B66DFFF5952C8974"/>
        <xdr:cNvPicPr>
          <a:picLocks noChangeAspect="1"/>
        </xdr:cNvPicPr>
      </xdr:nvPicPr>
      <xdr:blipFill>
        <a:blip r:embed="rId32" r:link="rId4"/>
        <a:stretch>
          <a:fillRect/>
        </a:stretch>
      </xdr:blipFill>
      <xdr:spPr>
        <a:xfrm>
          <a:off x="3618230" y="2349500"/>
          <a:ext cx="561975" cy="743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47BD5987F954877B55141A5472F015C"/>
        <xdr:cNvPicPr>
          <a:picLocks noChangeAspect="1"/>
        </xdr:cNvPicPr>
      </xdr:nvPicPr>
      <xdr:blipFill>
        <a:blip r:embed="rId33" r:link="rId4"/>
        <a:stretch>
          <a:fillRect/>
        </a:stretch>
      </xdr:blipFill>
      <xdr:spPr>
        <a:xfrm>
          <a:off x="3542030" y="3232150"/>
          <a:ext cx="620395" cy="699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8" name="ID_AE77884B702B4C7A8326E0954190DD7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551555" y="5060950"/>
          <a:ext cx="749935" cy="895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8" name="ID_F9BF357FC70E469895BD11152FC60446"/>
        <xdr:cNvPicPr>
          <a:picLocks noChangeAspect="1"/>
        </xdr:cNvPicPr>
      </xdr:nvPicPr>
      <xdr:blipFill>
        <a:blip r:embed="rId35" r:link="rId4"/>
        <a:stretch>
          <a:fillRect/>
        </a:stretch>
      </xdr:blipFill>
      <xdr:spPr>
        <a:xfrm>
          <a:off x="3580130" y="118036975"/>
          <a:ext cx="695960" cy="819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9" name="ID_0579275350E948D3829494185B2253B4"/>
        <xdr:cNvPicPr>
          <a:picLocks noChangeAspect="1"/>
        </xdr:cNvPicPr>
      </xdr:nvPicPr>
      <xdr:blipFill>
        <a:blip r:embed="rId36" r:link="rId4"/>
        <a:stretch>
          <a:fillRect/>
        </a:stretch>
      </xdr:blipFill>
      <xdr:spPr>
        <a:xfrm>
          <a:off x="3561080" y="119014875"/>
          <a:ext cx="619125" cy="73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0" name="ID_82A274E7B842418388BFA244D9F03346"/>
        <xdr:cNvPicPr>
          <a:picLocks noChangeAspect="1"/>
        </xdr:cNvPicPr>
      </xdr:nvPicPr>
      <xdr:blipFill>
        <a:blip r:embed="rId37" r:link="rId4"/>
        <a:stretch>
          <a:fillRect/>
        </a:stretch>
      </xdr:blipFill>
      <xdr:spPr>
        <a:xfrm>
          <a:off x="3646805" y="119821325"/>
          <a:ext cx="448310" cy="619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15F530F7F57844EE9673969905E5E860"/>
        <xdr:cNvPicPr>
          <a:picLocks noChangeAspect="1"/>
        </xdr:cNvPicPr>
      </xdr:nvPicPr>
      <xdr:blipFill>
        <a:blip r:embed="rId38" r:link="rId4"/>
        <a:stretch>
          <a:fillRect/>
        </a:stretch>
      </xdr:blipFill>
      <xdr:spPr>
        <a:xfrm>
          <a:off x="3646805" y="9464675"/>
          <a:ext cx="381000" cy="561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7EC157A047124E6C85169B7B7D9F0077"/>
        <xdr:cNvPicPr>
          <a:picLocks noChangeAspect="1"/>
        </xdr:cNvPicPr>
      </xdr:nvPicPr>
      <xdr:blipFill>
        <a:blip r:embed="rId39" r:link="rId4"/>
        <a:stretch>
          <a:fillRect/>
        </a:stretch>
      </xdr:blipFill>
      <xdr:spPr>
        <a:xfrm>
          <a:off x="3694430" y="10131425"/>
          <a:ext cx="323850" cy="521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C68750C1D9C043E1808C10BB7A4BA51A"/>
        <xdr:cNvPicPr>
          <a:picLocks noChangeAspect="1"/>
        </xdr:cNvPicPr>
      </xdr:nvPicPr>
      <xdr:blipFill>
        <a:blip r:embed="rId40" r:link="rId4"/>
        <a:stretch>
          <a:fillRect/>
        </a:stretch>
      </xdr:blipFill>
      <xdr:spPr>
        <a:xfrm>
          <a:off x="3694430" y="91535250"/>
          <a:ext cx="515620" cy="784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B52D131703484037978E53570398C9EF"/>
        <xdr:cNvPicPr>
          <a:picLocks noChangeAspect="1"/>
        </xdr:cNvPicPr>
      </xdr:nvPicPr>
      <xdr:blipFill>
        <a:blip r:embed="rId41" r:link="rId4"/>
        <a:stretch>
          <a:fillRect/>
        </a:stretch>
      </xdr:blipFill>
      <xdr:spPr>
        <a:xfrm>
          <a:off x="3656330" y="92411550"/>
          <a:ext cx="53340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B82AE644FEA146D59089B11963F038F6"/>
        <xdr:cNvPicPr>
          <a:picLocks noChangeAspect="1"/>
        </xdr:cNvPicPr>
      </xdr:nvPicPr>
      <xdr:blipFill>
        <a:blip r:embed="rId42" r:link="rId4"/>
        <a:stretch>
          <a:fillRect/>
        </a:stretch>
      </xdr:blipFill>
      <xdr:spPr>
        <a:xfrm>
          <a:off x="3656330" y="94440375"/>
          <a:ext cx="429260" cy="8515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A3591B248C9D4839806370EDE21D8685"/>
        <xdr:cNvPicPr>
          <a:picLocks noChangeAspect="1"/>
        </xdr:cNvPicPr>
      </xdr:nvPicPr>
      <xdr:blipFill>
        <a:blip r:embed="rId43" r:link="rId4"/>
        <a:stretch>
          <a:fillRect/>
        </a:stretch>
      </xdr:blipFill>
      <xdr:spPr>
        <a:xfrm>
          <a:off x="3684905" y="93424375"/>
          <a:ext cx="524510" cy="867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5F1E833924B04DFEA54B9D1DEBFDEC5F"/>
        <xdr:cNvPicPr>
          <a:picLocks noChangeAspect="1"/>
        </xdr:cNvPicPr>
      </xdr:nvPicPr>
      <xdr:blipFill>
        <a:blip r:embed="rId44" r:link="rId4"/>
        <a:stretch>
          <a:fillRect/>
        </a:stretch>
      </xdr:blipFill>
      <xdr:spPr>
        <a:xfrm>
          <a:off x="3665855" y="96196150"/>
          <a:ext cx="487045" cy="73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3" name="ID_915BDD97BAB742D0838043E0957D47E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529330" y="97833180"/>
          <a:ext cx="692150" cy="682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7" name="ID_2BC18C545091465D937F534A929E2F8F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692525" y="98877755"/>
          <a:ext cx="504190" cy="902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DC0DACEF6537495EAC226594A6322BED"/>
        <xdr:cNvPicPr>
          <a:picLocks noChangeAspect="1"/>
        </xdr:cNvPicPr>
      </xdr:nvPicPr>
      <xdr:blipFill>
        <a:blip r:embed="rId47" r:link="rId4"/>
        <a:stretch>
          <a:fillRect/>
        </a:stretch>
      </xdr:blipFill>
      <xdr:spPr>
        <a:xfrm>
          <a:off x="3532505" y="121373900"/>
          <a:ext cx="676910" cy="85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3" name="ID_4A443BC639A044D685ACB184151890DB"/>
        <xdr:cNvPicPr>
          <a:picLocks noChangeAspect="1"/>
        </xdr:cNvPicPr>
      </xdr:nvPicPr>
      <xdr:blipFill>
        <a:blip r:embed="rId48" r:link="rId4"/>
        <a:stretch>
          <a:fillRect/>
        </a:stretch>
      </xdr:blipFill>
      <xdr:spPr>
        <a:xfrm>
          <a:off x="3694430" y="100047425"/>
          <a:ext cx="31496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7" name="ID_BE432D4A640B4368992C8C362A04FDD2"/>
        <xdr:cNvPicPr>
          <a:picLocks noChangeAspect="1"/>
        </xdr:cNvPicPr>
      </xdr:nvPicPr>
      <xdr:blipFill>
        <a:blip r:embed="rId49" r:link="rId4"/>
        <a:stretch>
          <a:fillRect/>
        </a:stretch>
      </xdr:blipFill>
      <xdr:spPr>
        <a:xfrm>
          <a:off x="3542030" y="103050975"/>
          <a:ext cx="514350" cy="600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20134109F46B4167BB0CF0901691CD3C"/>
        <xdr:cNvPicPr>
          <a:picLocks noChangeAspect="1"/>
        </xdr:cNvPicPr>
      </xdr:nvPicPr>
      <xdr:blipFill>
        <a:blip r:embed="rId50" r:link="rId4"/>
        <a:stretch>
          <a:fillRect/>
        </a:stretch>
      </xdr:blipFill>
      <xdr:spPr>
        <a:xfrm>
          <a:off x="3503930" y="26673175"/>
          <a:ext cx="819150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3" name="ID_CDFF1DA4D4AC497EA5A205ABC10AC01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599180" y="27435175"/>
          <a:ext cx="774065" cy="428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13B7AEC9C57842C2AB6BB7662FEBB46D"/>
        <xdr:cNvPicPr>
          <a:picLocks noChangeAspect="1"/>
        </xdr:cNvPicPr>
      </xdr:nvPicPr>
      <xdr:blipFill>
        <a:blip r:embed="rId52" r:link="rId4"/>
        <a:stretch>
          <a:fillRect/>
        </a:stretch>
      </xdr:blipFill>
      <xdr:spPr>
        <a:xfrm>
          <a:off x="3551555" y="28727400"/>
          <a:ext cx="675640" cy="4584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ABF42A14C3A341DA8C80D879FDC98AA9"/>
        <xdr:cNvPicPr>
          <a:picLocks noChangeAspect="1"/>
        </xdr:cNvPicPr>
      </xdr:nvPicPr>
      <xdr:blipFill>
        <a:blip r:embed="rId53" r:link="rId4"/>
        <a:stretch>
          <a:fillRect/>
        </a:stretch>
      </xdr:blipFill>
      <xdr:spPr>
        <a:xfrm>
          <a:off x="3542030" y="28025725"/>
          <a:ext cx="762000" cy="562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55E0818143AC494E8CDE97851B6D7D28"/>
        <xdr:cNvPicPr>
          <a:picLocks noChangeAspect="1"/>
        </xdr:cNvPicPr>
      </xdr:nvPicPr>
      <xdr:blipFill>
        <a:blip r:embed="rId54" r:link="rId4"/>
        <a:stretch>
          <a:fillRect/>
        </a:stretch>
      </xdr:blipFill>
      <xdr:spPr>
        <a:xfrm>
          <a:off x="3503930" y="29321125"/>
          <a:ext cx="800100" cy="410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5E08086C52E64F3D969C861DABCD88D7"/>
        <xdr:cNvPicPr>
          <a:picLocks noChangeAspect="1"/>
        </xdr:cNvPicPr>
      </xdr:nvPicPr>
      <xdr:blipFill>
        <a:blip r:embed="rId55" r:link="rId4"/>
        <a:stretch>
          <a:fillRect/>
        </a:stretch>
      </xdr:blipFill>
      <xdr:spPr>
        <a:xfrm>
          <a:off x="3522980" y="29838650"/>
          <a:ext cx="762635" cy="4692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8" name="ID_9010C1A2847E49A4B9C43667D09D31CC"/>
        <xdr:cNvPicPr>
          <a:picLocks noChangeAspect="1"/>
        </xdr:cNvPicPr>
      </xdr:nvPicPr>
      <xdr:blipFill>
        <a:blip r:embed="rId56" r:link="rId4"/>
        <a:stretch>
          <a:fillRect/>
        </a:stretch>
      </xdr:blipFill>
      <xdr:spPr>
        <a:xfrm>
          <a:off x="3513455" y="31000700"/>
          <a:ext cx="876935" cy="504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98D4D35389F6484A85E0425513EDAC9D"/>
        <xdr:cNvPicPr>
          <a:picLocks noChangeAspect="1"/>
        </xdr:cNvPicPr>
      </xdr:nvPicPr>
      <xdr:blipFill>
        <a:blip r:embed="rId57" r:link="rId4"/>
        <a:stretch>
          <a:fillRect/>
        </a:stretch>
      </xdr:blipFill>
      <xdr:spPr>
        <a:xfrm>
          <a:off x="3561080" y="30406975"/>
          <a:ext cx="753110" cy="467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8" name="ID_076460F0E13C4F0982BE92CC014F534E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3589655" y="31800800"/>
          <a:ext cx="788035" cy="5575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F789C4AA8C42424C83EF0E5215FB50E5"/>
        <xdr:cNvPicPr>
          <a:picLocks noChangeAspect="1"/>
        </xdr:cNvPicPr>
      </xdr:nvPicPr>
      <xdr:blipFill>
        <a:blip r:embed="rId59" r:link="rId4"/>
        <a:stretch>
          <a:fillRect/>
        </a:stretch>
      </xdr:blipFill>
      <xdr:spPr>
        <a:xfrm>
          <a:off x="3561080" y="32550100"/>
          <a:ext cx="610870" cy="819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6" name="ID_CB4942C1D6CA4BC696F7EFF251DB7DB8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3667760" y="33584515"/>
          <a:ext cx="565150" cy="856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7" name="ID_A8C330C3D7094A72A45CD769ABC4D82B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3703955" y="34760535"/>
          <a:ext cx="496570" cy="754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1" name="ID_395AB439E1D1423CA761F01B8257FBA7"/>
        <xdr:cNvPicPr>
          <a:picLocks noChangeAspect="1"/>
        </xdr:cNvPicPr>
      </xdr:nvPicPr>
      <xdr:blipFill>
        <a:blip r:embed="rId61" r:link="rId4"/>
        <a:stretch>
          <a:fillRect/>
        </a:stretch>
      </xdr:blipFill>
      <xdr:spPr>
        <a:xfrm>
          <a:off x="3503930" y="120567450"/>
          <a:ext cx="592455" cy="687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595C3CD197E840DAA3A31C3E0F869F17"/>
        <xdr:cNvPicPr>
          <a:picLocks noChangeAspect="1"/>
        </xdr:cNvPicPr>
      </xdr:nvPicPr>
      <xdr:blipFill>
        <a:blip r:embed="rId62" r:link="rId4"/>
        <a:stretch>
          <a:fillRect/>
        </a:stretch>
      </xdr:blipFill>
      <xdr:spPr>
        <a:xfrm>
          <a:off x="3570605" y="7464425"/>
          <a:ext cx="676910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082E4231D3214AD18F613EEA3FC063CB"/>
        <xdr:cNvPicPr>
          <a:picLocks noChangeAspect="1"/>
        </xdr:cNvPicPr>
      </xdr:nvPicPr>
      <xdr:blipFill>
        <a:blip r:embed="rId63" r:link="rId4"/>
        <a:stretch>
          <a:fillRect/>
        </a:stretch>
      </xdr:blipFill>
      <xdr:spPr>
        <a:xfrm>
          <a:off x="3513455" y="8197850"/>
          <a:ext cx="791210" cy="581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8413A963CE344040AB434E24A673A3BB"/>
        <xdr:cNvPicPr>
          <a:picLocks noChangeAspect="1"/>
        </xdr:cNvPicPr>
      </xdr:nvPicPr>
      <xdr:blipFill>
        <a:blip r:embed="rId64" r:link="rId4"/>
        <a:stretch>
          <a:fillRect/>
        </a:stretch>
      </xdr:blipFill>
      <xdr:spPr>
        <a:xfrm>
          <a:off x="3627755" y="8877300"/>
          <a:ext cx="638810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C1FE778DEFCC416B94CB4F724D209250"/>
        <xdr:cNvPicPr>
          <a:picLocks noChangeAspect="1"/>
        </xdr:cNvPicPr>
      </xdr:nvPicPr>
      <xdr:blipFill>
        <a:blip r:embed="rId65" r:link="rId4"/>
        <a:stretch>
          <a:fillRect/>
        </a:stretch>
      </xdr:blipFill>
      <xdr:spPr>
        <a:xfrm>
          <a:off x="3570605" y="12426950"/>
          <a:ext cx="628650" cy="543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9BF6F62C453047C0B50894B359DC6345"/>
        <xdr:cNvPicPr>
          <a:picLocks noChangeAspect="1"/>
        </xdr:cNvPicPr>
      </xdr:nvPicPr>
      <xdr:blipFill>
        <a:blip r:embed="rId66" r:link="rId4"/>
        <a:stretch>
          <a:fillRect/>
        </a:stretch>
      </xdr:blipFill>
      <xdr:spPr>
        <a:xfrm>
          <a:off x="3742055" y="13070205"/>
          <a:ext cx="200660" cy="624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636367C4C4424927AD9C0302B10DB634" descr="H8002CE 前视图"/>
        <xdr:cNvPicPr/>
      </xdr:nvPicPr>
      <xdr:blipFill>
        <a:blip r:embed="rId67"/>
        <a:srcRect l="31911" t="-3075" r="29188"/>
        <a:stretch>
          <a:fillRect/>
        </a:stretch>
      </xdr:blipFill>
      <xdr:spPr>
        <a:xfrm>
          <a:off x="6522720" y="19337020"/>
          <a:ext cx="3332480" cy="4965064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13" name="ID_D3911F3D46B740F8ACDE97A540C9DE07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9809480" y="25133300"/>
          <a:ext cx="807720" cy="57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B9798DDA3E1244E78AAA70C0ECECF4C5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9904730" y="25507950"/>
          <a:ext cx="879475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283C2512FD9943EEABACEE0073BA1BD8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9790430" y="25841325"/>
          <a:ext cx="981075" cy="751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6A0C3AC6E35D494297F4E5A107F01E59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9723755" y="38150800"/>
          <a:ext cx="557530" cy="602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83A73A684E9340DB83EFF7ECF83E9FE5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9971405" y="36883975"/>
          <a:ext cx="591185" cy="559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420EA8E85C2F440AA7F68515066DCEAE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0009505" y="37426900"/>
          <a:ext cx="600710" cy="607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9990BCA2F49245DF85862D493A580538"/>
        <xdr:cNvPicPr>
          <a:picLocks noChangeAspect="1"/>
        </xdr:cNvPicPr>
      </xdr:nvPicPr>
      <xdr:blipFill>
        <a:blip r:embed="rId74" r:link="rId4"/>
        <a:stretch>
          <a:fillRect/>
        </a:stretch>
      </xdr:blipFill>
      <xdr:spPr>
        <a:xfrm>
          <a:off x="3732530" y="58470165"/>
          <a:ext cx="351155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C535561E1EC9498390AEA9ED2668AD4E"/>
        <xdr:cNvPicPr>
          <a:picLocks noChangeAspect="1"/>
        </xdr:cNvPicPr>
      </xdr:nvPicPr>
      <xdr:blipFill>
        <a:blip r:embed="rId75" r:link="rId4"/>
        <a:stretch>
          <a:fillRect/>
        </a:stretch>
      </xdr:blipFill>
      <xdr:spPr>
        <a:xfrm>
          <a:off x="3766820" y="57493535"/>
          <a:ext cx="361950" cy="704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0C16ACC833964E20B433F27213CAB563"/>
        <xdr:cNvPicPr>
          <a:picLocks noChangeAspect="1"/>
        </xdr:cNvPicPr>
      </xdr:nvPicPr>
      <xdr:blipFill>
        <a:blip r:embed="rId76" r:link="rId4"/>
        <a:stretch>
          <a:fillRect/>
        </a:stretch>
      </xdr:blipFill>
      <xdr:spPr>
        <a:xfrm>
          <a:off x="3761105" y="59312175"/>
          <a:ext cx="304800" cy="62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56666758F8B043298EF4F4E351168B59"/>
        <xdr:cNvPicPr>
          <a:picLocks noChangeAspect="1"/>
        </xdr:cNvPicPr>
      </xdr:nvPicPr>
      <xdr:blipFill>
        <a:blip r:embed="rId77" r:link="rId4"/>
        <a:stretch>
          <a:fillRect/>
        </a:stretch>
      </xdr:blipFill>
      <xdr:spPr>
        <a:xfrm>
          <a:off x="3723005" y="60820300"/>
          <a:ext cx="419100" cy="581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E4AAE3D158984F98943DCCE2AB4A4AEF"/>
        <xdr:cNvPicPr>
          <a:picLocks noChangeAspect="1"/>
        </xdr:cNvPicPr>
      </xdr:nvPicPr>
      <xdr:blipFill>
        <a:blip r:embed="rId78" r:link="rId4"/>
        <a:stretch>
          <a:fillRect/>
        </a:stretch>
      </xdr:blipFill>
      <xdr:spPr>
        <a:xfrm>
          <a:off x="3694430" y="60109100"/>
          <a:ext cx="361950" cy="57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A4032DF769F24405A0D01041137B7F2F"/>
        <xdr:cNvPicPr>
          <a:picLocks noChangeAspect="1"/>
        </xdr:cNvPicPr>
      </xdr:nvPicPr>
      <xdr:blipFill>
        <a:blip r:embed="rId79" r:link="rId4"/>
        <a:stretch>
          <a:fillRect/>
        </a:stretch>
      </xdr:blipFill>
      <xdr:spPr>
        <a:xfrm>
          <a:off x="3618230" y="62890400"/>
          <a:ext cx="58166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3DE27852C0F242D18749E00D62DAC3F5"/>
        <xdr:cNvPicPr>
          <a:picLocks noChangeAspect="1"/>
        </xdr:cNvPicPr>
      </xdr:nvPicPr>
      <xdr:blipFill>
        <a:blip r:embed="rId80" r:link="rId4"/>
        <a:stretch>
          <a:fillRect/>
        </a:stretch>
      </xdr:blipFill>
      <xdr:spPr>
        <a:xfrm>
          <a:off x="3513455" y="62401450"/>
          <a:ext cx="800100" cy="323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E943AF18EF0740A6B810212280CF10B7"/>
        <xdr:cNvPicPr>
          <a:picLocks noChangeAspect="1"/>
        </xdr:cNvPicPr>
      </xdr:nvPicPr>
      <xdr:blipFill>
        <a:blip r:embed="rId79" r:link="rId4"/>
        <a:stretch>
          <a:fillRect/>
        </a:stretch>
      </xdr:blipFill>
      <xdr:spPr>
        <a:xfrm>
          <a:off x="10029190" y="43270170"/>
          <a:ext cx="58166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7FEE429710634E28B9336B834085CC0B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9723755" y="40944800"/>
          <a:ext cx="542290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5C1FEC13A2DD426BB634A59D0E5B4CAC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0172065" y="42648505"/>
          <a:ext cx="262255" cy="60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DC372EFEAE414F8287B25E3B5D8E30F9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0104755" y="43126025"/>
          <a:ext cx="262255" cy="60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791AA7B6E4174CE88C69D615E24FCCCB"/>
        <xdr:cNvPicPr>
          <a:picLocks noChangeAspect="1"/>
        </xdr:cNvPicPr>
      </xdr:nvPicPr>
      <xdr:blipFill>
        <a:blip r:embed="rId83" r:link="rId4"/>
        <a:stretch>
          <a:fillRect/>
        </a:stretch>
      </xdr:blipFill>
      <xdr:spPr>
        <a:xfrm>
          <a:off x="3608705" y="45248830"/>
          <a:ext cx="619760" cy="474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28FF121FECA741F596DCABF2CDE11181"/>
        <xdr:cNvPicPr>
          <a:picLocks noChangeAspect="1"/>
        </xdr:cNvPicPr>
      </xdr:nvPicPr>
      <xdr:blipFill>
        <a:blip r:embed="rId84" r:link="rId4"/>
        <a:stretch>
          <a:fillRect/>
        </a:stretch>
      </xdr:blipFill>
      <xdr:spPr>
        <a:xfrm>
          <a:off x="3656330" y="45938440"/>
          <a:ext cx="552450" cy="4711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6A9EDA897F7E49CA95EA5CC5194304BD"/>
        <xdr:cNvPicPr>
          <a:picLocks noChangeAspect="1"/>
        </xdr:cNvPicPr>
      </xdr:nvPicPr>
      <xdr:blipFill>
        <a:blip r:embed="rId85" r:link="rId4"/>
        <a:stretch>
          <a:fillRect/>
        </a:stretch>
      </xdr:blipFill>
      <xdr:spPr>
        <a:xfrm>
          <a:off x="3649980" y="47160815"/>
          <a:ext cx="431800" cy="4959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051CBFC4A470445C9FC82CB9BE3635B5"/>
        <xdr:cNvPicPr>
          <a:picLocks noChangeAspect="1"/>
        </xdr:cNvPicPr>
      </xdr:nvPicPr>
      <xdr:blipFill>
        <a:blip r:embed="rId86" r:link="rId4"/>
        <a:stretch>
          <a:fillRect/>
        </a:stretch>
      </xdr:blipFill>
      <xdr:spPr>
        <a:xfrm>
          <a:off x="3589655" y="46549310"/>
          <a:ext cx="514985" cy="472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D567BC0CD22442099B66968B895C0EFA"/>
        <xdr:cNvPicPr>
          <a:picLocks noChangeAspect="1"/>
        </xdr:cNvPicPr>
      </xdr:nvPicPr>
      <xdr:blipFill>
        <a:blip r:embed="rId87" r:link="rId4"/>
        <a:stretch>
          <a:fillRect/>
        </a:stretch>
      </xdr:blipFill>
      <xdr:spPr>
        <a:xfrm>
          <a:off x="3580130" y="47767875"/>
          <a:ext cx="571500" cy="479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8" name="ID_DADDDC5A7E234355AC46739237968362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3645535" y="48542575"/>
          <a:ext cx="590550" cy="378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C11099838C2F40B19D9D096CF4AFC101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10429240" y="51955700"/>
          <a:ext cx="814705" cy="846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29BF4E96E1074ABC8BDD5B352A707A79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0206355" y="56337200"/>
          <a:ext cx="1033780" cy="75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FEEEDF25291D4A5B9C81C81474D70F6D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10206355" y="58013600"/>
          <a:ext cx="1028065" cy="504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645588B36AD74BC4A5F6A25A4F60FEC6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0206355" y="59690000"/>
          <a:ext cx="913765" cy="497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B74EC651EBF342C58652B70E37554A62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0206355" y="61366400"/>
          <a:ext cx="920750" cy="384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1AAD031238434563B50C089F6A437E5E"/>
        <xdr:cNvPicPr>
          <a:picLocks noChangeAspect="1"/>
        </xdr:cNvPicPr>
      </xdr:nvPicPr>
      <xdr:blipFill>
        <a:blip r:embed="rId94" r:link="rId4"/>
        <a:stretch>
          <a:fillRect/>
        </a:stretch>
      </xdr:blipFill>
      <xdr:spPr>
        <a:xfrm>
          <a:off x="3513455" y="50011330"/>
          <a:ext cx="734060" cy="4368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E50A0DFC7860433F96F1109DBF8C64DC"/>
        <xdr:cNvPicPr>
          <a:picLocks noChangeAspect="1"/>
        </xdr:cNvPicPr>
      </xdr:nvPicPr>
      <xdr:blipFill>
        <a:blip r:embed="rId95" r:link="rId4"/>
        <a:stretch>
          <a:fillRect/>
        </a:stretch>
      </xdr:blipFill>
      <xdr:spPr>
        <a:xfrm>
          <a:off x="3531870" y="36460430"/>
          <a:ext cx="591820" cy="608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0" name="ID_3CEE9D17040449DE9C77F10804E1B397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3646805" y="37160200"/>
          <a:ext cx="528320" cy="758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4" name="ID_00AF90B6141E45A3BEE12B2231CC8C02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3694430" y="38925500"/>
          <a:ext cx="448310" cy="553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7" name="ID_43657966F4114E1F9DCD2961296FC0BE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3484880" y="38004750"/>
          <a:ext cx="866775" cy="746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9" name="ID_524542B9DE9643E287718BB858749CC2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3602355" y="41478200"/>
          <a:ext cx="526415" cy="53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1" name="ID_1659F3645EE64502943599E1C7EDD3B7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3570605" y="42268775"/>
          <a:ext cx="457200" cy="538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3" name="ID_F73F1F6CBA474D12B55D553D37560432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3465830" y="43157775"/>
          <a:ext cx="799465" cy="90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C45B4BF4C1614BFAAE80895BDC0E58D2"/>
        <xdr:cNvPicPr>
          <a:picLocks noChangeAspect="1"/>
        </xdr:cNvPicPr>
      </xdr:nvPicPr>
      <xdr:blipFill>
        <a:blip r:embed="rId102" r:link="rId4"/>
        <a:stretch>
          <a:fillRect/>
        </a:stretch>
      </xdr:blipFill>
      <xdr:spPr>
        <a:xfrm>
          <a:off x="3532505" y="35753675"/>
          <a:ext cx="610870" cy="572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F3F8092EC15F436E907129772DE90F05"/>
        <xdr:cNvPicPr>
          <a:picLocks noChangeAspect="1"/>
        </xdr:cNvPicPr>
      </xdr:nvPicPr>
      <xdr:blipFill>
        <a:blip r:embed="rId103" r:link="rId4"/>
        <a:stretch>
          <a:fillRect/>
        </a:stretch>
      </xdr:blipFill>
      <xdr:spPr>
        <a:xfrm>
          <a:off x="3561080" y="49406175"/>
          <a:ext cx="543560" cy="5505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E818B3404CEA41799E5F4421201D5148"/>
        <xdr:cNvPicPr>
          <a:picLocks noChangeAspect="1"/>
        </xdr:cNvPicPr>
      </xdr:nvPicPr>
      <xdr:blipFill>
        <a:blip r:embed="rId104" r:link="rId4"/>
        <a:stretch>
          <a:fillRect/>
        </a:stretch>
      </xdr:blipFill>
      <xdr:spPr>
        <a:xfrm>
          <a:off x="3493770" y="51215290"/>
          <a:ext cx="687070" cy="613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8A8771C309A646F9911DD4E636D7E22A"/>
        <xdr:cNvPicPr>
          <a:picLocks noChangeAspect="1"/>
        </xdr:cNvPicPr>
      </xdr:nvPicPr>
      <xdr:blipFill>
        <a:blip r:embed="rId105" r:link="rId4"/>
        <a:stretch>
          <a:fillRect/>
        </a:stretch>
      </xdr:blipFill>
      <xdr:spPr>
        <a:xfrm>
          <a:off x="3559810" y="50615215"/>
          <a:ext cx="496570" cy="441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EA8AFA6363A84D2A83D1ADF22F4224C7"/>
        <xdr:cNvPicPr>
          <a:picLocks noChangeAspect="1"/>
        </xdr:cNvPicPr>
      </xdr:nvPicPr>
      <xdr:blipFill>
        <a:blip r:embed="rId106" r:link="rId4"/>
        <a:stretch>
          <a:fillRect/>
        </a:stretch>
      </xdr:blipFill>
      <xdr:spPr>
        <a:xfrm>
          <a:off x="3560445" y="51981100"/>
          <a:ext cx="629285" cy="591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1267232D56C941CFAEEA96C734AD2089"/>
        <xdr:cNvPicPr>
          <a:picLocks noChangeAspect="1"/>
        </xdr:cNvPicPr>
      </xdr:nvPicPr>
      <xdr:blipFill>
        <a:blip r:embed="rId107" r:link="rId4"/>
        <a:stretch>
          <a:fillRect/>
        </a:stretch>
      </xdr:blipFill>
      <xdr:spPr>
        <a:xfrm>
          <a:off x="3665220" y="53634640"/>
          <a:ext cx="515620" cy="515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2" name="ID_8ED8F9F6FF684A8D95FE49D67BCBB82D"/>
        <xdr:cNvPicPr>
          <a:picLocks noChangeAspect="1"/>
        </xdr:cNvPicPr>
      </xdr:nvPicPr>
      <xdr:blipFill>
        <a:blip r:embed="rId108" r:link="rId4"/>
        <a:stretch>
          <a:fillRect/>
        </a:stretch>
      </xdr:blipFill>
      <xdr:spPr>
        <a:xfrm>
          <a:off x="3641725" y="52765325"/>
          <a:ext cx="434340" cy="645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" name="ID_36558FF175414C53951A110AD6B2DDA4"/>
        <xdr:cNvPicPr>
          <a:picLocks noChangeAspect="1"/>
        </xdr:cNvPicPr>
      </xdr:nvPicPr>
      <xdr:blipFill>
        <a:blip r:embed="rId109" r:link="rId4"/>
        <a:stretch>
          <a:fillRect/>
        </a:stretch>
      </xdr:blipFill>
      <xdr:spPr>
        <a:xfrm>
          <a:off x="3554730" y="56215915"/>
          <a:ext cx="753110" cy="516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5" name="ID_2F7F3F535D554DA09D2C053DD3F12FD8"/>
        <xdr:cNvPicPr>
          <a:picLocks noChangeAspect="1"/>
        </xdr:cNvPicPr>
      </xdr:nvPicPr>
      <xdr:blipFill>
        <a:blip r:embed="rId110" r:link="rId4"/>
        <a:stretch>
          <a:fillRect/>
        </a:stretch>
      </xdr:blipFill>
      <xdr:spPr>
        <a:xfrm>
          <a:off x="3494405" y="55657750"/>
          <a:ext cx="648335" cy="400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6" name="ID_01848590BE1B45D683D46A91C7D664E9"/>
        <xdr:cNvPicPr>
          <a:picLocks noChangeAspect="1"/>
        </xdr:cNvPicPr>
      </xdr:nvPicPr>
      <xdr:blipFill>
        <a:blip r:embed="rId111" r:link="rId4"/>
        <a:stretch>
          <a:fillRect/>
        </a:stretch>
      </xdr:blipFill>
      <xdr:spPr>
        <a:xfrm>
          <a:off x="3608070" y="56893460"/>
          <a:ext cx="619760" cy="4660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1" name="ID_BE47796607AB4816BE81ECD84C91CA7D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3608705" y="39719250"/>
          <a:ext cx="701040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2" name="ID_96A25E0F96234D1B8050B55C0C3ED72B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3656330" y="40595550"/>
          <a:ext cx="685800" cy="6813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4" name="ID_C83A1AC2982F45478751BA245D74FEDE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3503930" y="44227750"/>
          <a:ext cx="772160" cy="895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2" name="ID_A1475E1130AD4EDEB6AE0E2F07D29BDB"/>
        <xdr:cNvPicPr>
          <a:picLocks noChangeAspect="1"/>
        </xdr:cNvPicPr>
      </xdr:nvPicPr>
      <xdr:blipFill>
        <a:blip r:embed="rId115" r:link="rId4"/>
        <a:stretch>
          <a:fillRect/>
        </a:stretch>
      </xdr:blipFill>
      <xdr:spPr>
        <a:xfrm>
          <a:off x="3561080" y="135969375"/>
          <a:ext cx="705485" cy="635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90317F13FB6740EE89F3E06F47548774"/>
        <xdr:cNvPicPr>
          <a:picLocks noChangeAspect="1"/>
        </xdr:cNvPicPr>
      </xdr:nvPicPr>
      <xdr:blipFill>
        <a:blip r:embed="rId116" r:link="rId4"/>
        <a:stretch>
          <a:fillRect/>
        </a:stretch>
      </xdr:blipFill>
      <xdr:spPr>
        <a:xfrm>
          <a:off x="3742055" y="70450075"/>
          <a:ext cx="280035" cy="868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7" name="ID_E7BC92B66BDA4921A4D7E5572E1B26BA"/>
        <xdr:cNvPicPr>
          <a:picLocks noChangeAspect="1"/>
        </xdr:cNvPicPr>
      </xdr:nvPicPr>
      <xdr:blipFill>
        <a:blip r:embed="rId117" r:link="rId4"/>
        <a:stretch>
          <a:fillRect/>
        </a:stretch>
      </xdr:blipFill>
      <xdr:spPr>
        <a:xfrm>
          <a:off x="3751580" y="72259825"/>
          <a:ext cx="22860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9" name="ID_22F576D888864F188E4E463F87D57417"/>
        <xdr:cNvPicPr>
          <a:picLocks noChangeAspect="1"/>
        </xdr:cNvPicPr>
      </xdr:nvPicPr>
      <xdr:blipFill>
        <a:blip r:embed="rId118" r:link="rId4"/>
        <a:stretch>
          <a:fillRect/>
        </a:stretch>
      </xdr:blipFill>
      <xdr:spPr>
        <a:xfrm>
          <a:off x="3723005" y="71389875"/>
          <a:ext cx="295910" cy="772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0" name="ID_7BB12BDFA6924C8694CEDF28D104C9A6"/>
        <xdr:cNvPicPr>
          <a:picLocks noChangeAspect="1"/>
        </xdr:cNvPicPr>
      </xdr:nvPicPr>
      <xdr:blipFill>
        <a:blip r:embed="rId119" r:link="rId4"/>
        <a:stretch>
          <a:fillRect/>
        </a:stretch>
      </xdr:blipFill>
      <xdr:spPr>
        <a:xfrm>
          <a:off x="3742055" y="73209150"/>
          <a:ext cx="276860" cy="810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D4D353D8AD054EBC9BE80C4D654FEFD4"/>
        <xdr:cNvPicPr>
          <a:picLocks noChangeAspect="1"/>
        </xdr:cNvPicPr>
      </xdr:nvPicPr>
      <xdr:blipFill>
        <a:blip r:embed="rId120" r:link="rId4"/>
        <a:stretch>
          <a:fillRect/>
        </a:stretch>
      </xdr:blipFill>
      <xdr:spPr>
        <a:xfrm>
          <a:off x="3684905" y="75041125"/>
          <a:ext cx="304800" cy="828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4" name="ID_671C827E60D64381A7C95513F06781A8"/>
        <xdr:cNvPicPr>
          <a:picLocks noChangeAspect="1"/>
        </xdr:cNvPicPr>
      </xdr:nvPicPr>
      <xdr:blipFill>
        <a:blip r:embed="rId119" r:link="rId4"/>
        <a:stretch>
          <a:fillRect/>
        </a:stretch>
      </xdr:blipFill>
      <xdr:spPr>
        <a:xfrm>
          <a:off x="3808730" y="74107675"/>
          <a:ext cx="276860" cy="810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4C2DF76C293E4BAF9AE333DA0EC6A507"/>
        <xdr:cNvPicPr>
          <a:picLocks noChangeAspect="1"/>
        </xdr:cNvPicPr>
      </xdr:nvPicPr>
      <xdr:blipFill>
        <a:blip r:embed="rId121" r:link="rId4"/>
        <a:stretch>
          <a:fillRect/>
        </a:stretch>
      </xdr:blipFill>
      <xdr:spPr>
        <a:xfrm>
          <a:off x="3723005" y="75955525"/>
          <a:ext cx="266700" cy="772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05B8933305004B26B5603EB19E81BE04"/>
        <xdr:cNvPicPr>
          <a:picLocks noChangeAspect="1"/>
        </xdr:cNvPicPr>
      </xdr:nvPicPr>
      <xdr:blipFill>
        <a:blip r:embed="rId122" r:link="rId4"/>
        <a:stretch>
          <a:fillRect/>
        </a:stretch>
      </xdr:blipFill>
      <xdr:spPr>
        <a:xfrm>
          <a:off x="3694430" y="76860400"/>
          <a:ext cx="247650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CD2B04ECBE884E34A3CAD4C4B8957EB9"/>
        <xdr:cNvPicPr>
          <a:picLocks noChangeAspect="1"/>
        </xdr:cNvPicPr>
      </xdr:nvPicPr>
      <xdr:blipFill>
        <a:blip r:embed="rId123" r:link="rId4"/>
        <a:stretch>
          <a:fillRect/>
        </a:stretch>
      </xdr:blipFill>
      <xdr:spPr>
        <a:xfrm>
          <a:off x="3646805" y="77781150"/>
          <a:ext cx="338455" cy="838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5" name="ID_01FBBF67193D468888560936B65803FD"/>
        <xdr:cNvPicPr>
          <a:picLocks noChangeAspect="1"/>
        </xdr:cNvPicPr>
      </xdr:nvPicPr>
      <xdr:blipFill>
        <a:blip r:embed="rId124" r:link="rId4"/>
        <a:stretch>
          <a:fillRect/>
        </a:stretch>
      </xdr:blipFill>
      <xdr:spPr>
        <a:xfrm>
          <a:off x="3656330" y="78787625"/>
          <a:ext cx="266700" cy="924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3" name="ID_8345456B3127479EB24631182F378593"/>
        <xdr:cNvPicPr>
          <a:picLocks noChangeAspect="1"/>
        </xdr:cNvPicPr>
      </xdr:nvPicPr>
      <xdr:blipFill>
        <a:blip r:embed="rId125" r:link="rId4"/>
        <a:stretch>
          <a:fillRect/>
        </a:stretch>
      </xdr:blipFill>
      <xdr:spPr>
        <a:xfrm>
          <a:off x="3665855" y="79860775"/>
          <a:ext cx="334010" cy="781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7" name="ID_F45258D95D0C42E4A54158867D951D71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3657600" y="80789145"/>
          <a:ext cx="325120" cy="8470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4" name="ID_A7B0F19377E240D592EBB50D0705B771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3799840" y="81915000"/>
          <a:ext cx="327025" cy="654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5" name="ID_55000534538E4508A90B479F4A3A43E1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3810635" y="82829400"/>
          <a:ext cx="316230" cy="7518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5" name="ID_6449006DCE9041AC874AC5CE5F8492A1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3742055" y="84162900"/>
          <a:ext cx="462280" cy="884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4" name="ID_3FD8FEA250D34C1EB250B49B8289C0E8"/>
        <xdr:cNvPicPr>
          <a:picLocks noChangeAspect="1"/>
        </xdr:cNvPicPr>
      </xdr:nvPicPr>
      <xdr:blipFill>
        <a:blip r:embed="rId130" r:link="rId4"/>
        <a:stretch>
          <a:fillRect/>
        </a:stretch>
      </xdr:blipFill>
      <xdr:spPr>
        <a:xfrm>
          <a:off x="3630930" y="85422740"/>
          <a:ext cx="448310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5" name="ID_5EEBF27271E54C0585C7AE405B723B49"/>
        <xdr:cNvPicPr>
          <a:picLocks noChangeAspect="1"/>
        </xdr:cNvPicPr>
      </xdr:nvPicPr>
      <xdr:blipFill>
        <a:blip r:embed="rId131" r:link="rId4"/>
        <a:stretch>
          <a:fillRect/>
        </a:stretch>
      </xdr:blipFill>
      <xdr:spPr>
        <a:xfrm>
          <a:off x="3589655" y="86347300"/>
          <a:ext cx="372110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6" name="ID_7592BBF967484748BB3A827EEDF039A9"/>
        <xdr:cNvPicPr>
          <a:picLocks noChangeAspect="1"/>
        </xdr:cNvPicPr>
      </xdr:nvPicPr>
      <xdr:blipFill>
        <a:blip r:embed="rId132" r:link="rId4"/>
        <a:stretch>
          <a:fillRect/>
        </a:stretch>
      </xdr:blipFill>
      <xdr:spPr>
        <a:xfrm>
          <a:off x="3599180" y="87331550"/>
          <a:ext cx="391160" cy="87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7" name="ID_CFFA4DCADEF0480AAC75CA88C5D8C725"/>
        <xdr:cNvPicPr>
          <a:picLocks noChangeAspect="1"/>
        </xdr:cNvPicPr>
      </xdr:nvPicPr>
      <xdr:blipFill>
        <a:blip r:embed="rId133" r:link="rId4"/>
        <a:stretch>
          <a:fillRect/>
        </a:stretch>
      </xdr:blipFill>
      <xdr:spPr>
        <a:xfrm>
          <a:off x="3646805" y="88433275"/>
          <a:ext cx="381000" cy="87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9" name="ID_DAAC1D2D92D0418189523B4B076F7BF6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3684905" y="89481660"/>
          <a:ext cx="428625" cy="1022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8" name="ID_9605E2A933D34446AF06DA92D0E3C305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10511155" y="74025125"/>
          <a:ext cx="436880" cy="746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9" name="ID_A6A5C4D01AB3477DA6E4B864227570B8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10473055" y="74425175"/>
          <a:ext cx="479425" cy="923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0" name="ID_547D4AC051CD447E96D2DDBB3142D8B9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10510520" y="74879200"/>
          <a:ext cx="410210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1" name="ID_D60AEFA808C846FC8DEFB46CC64011E6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10206355" y="75196700"/>
          <a:ext cx="581660" cy="1212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3" name="ID_81C4E426933F4B528BC1AA6848B0DC5E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10206355" y="78790800"/>
          <a:ext cx="447040" cy="942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4" name="ID_D05118FED6DD4E368781C2EC4529A03A"/>
        <xdr:cNvPicPr>
          <a:picLocks noChangeAspect="1"/>
        </xdr:cNvPicPr>
      </xdr:nvPicPr>
      <xdr:blipFill>
        <a:blip r:embed="rId140" r:link="rId4"/>
        <a:stretch>
          <a:fillRect/>
        </a:stretch>
      </xdr:blipFill>
      <xdr:spPr>
        <a:xfrm>
          <a:off x="3503930" y="10823575"/>
          <a:ext cx="84836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5" name="ID_8A235A9B9263448DB5D25D1341EDA1C2"/>
        <xdr:cNvPicPr>
          <a:picLocks noChangeAspect="1"/>
        </xdr:cNvPicPr>
      </xdr:nvPicPr>
      <xdr:blipFill>
        <a:blip r:embed="rId141" r:link="rId4"/>
        <a:stretch>
          <a:fillRect/>
        </a:stretch>
      </xdr:blipFill>
      <xdr:spPr>
        <a:xfrm>
          <a:off x="3551555" y="11731625"/>
          <a:ext cx="608965" cy="607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6" name="ID_AB1C325029EC41F1B3A6D0FEF5A14449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0316210" y="84696300"/>
          <a:ext cx="622300" cy="621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2" name="ID_020AFB22C5944F7AB9F1297C18E0A950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0349230" y="85106510"/>
          <a:ext cx="497840" cy="604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6" name="ID_59C02BA9460E4BEAA8078CE5D2DDAE98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0349865" y="85547835"/>
          <a:ext cx="516890" cy="556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9" name="ID_AAC23C0D75FD4FCFBF84D90BD2B269F3"/>
        <xdr:cNvPicPr>
          <a:picLocks noChangeAspect="1"/>
        </xdr:cNvPicPr>
      </xdr:nvPicPr>
      <xdr:blipFill>
        <a:blip r:embed="rId145" r:link="rId4"/>
        <a:stretch>
          <a:fillRect/>
        </a:stretch>
      </xdr:blipFill>
      <xdr:spPr>
        <a:xfrm>
          <a:off x="3503930" y="95418275"/>
          <a:ext cx="819150" cy="581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0" name="ID_4F1D2775512645E5B28C2676DCD17273"/>
        <xdr:cNvPicPr>
          <a:picLocks noChangeAspect="1"/>
        </xdr:cNvPicPr>
      </xdr:nvPicPr>
      <xdr:blipFill>
        <a:blip r:embed="rId146" r:link="rId4"/>
        <a:stretch>
          <a:fillRect/>
        </a:stretch>
      </xdr:blipFill>
      <xdr:spPr>
        <a:xfrm>
          <a:off x="3551555" y="100885625"/>
          <a:ext cx="657860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5" name="ID_EF77DDF5002249F492F640472D3E49BF"/>
        <xdr:cNvPicPr>
          <a:picLocks noChangeAspect="1"/>
        </xdr:cNvPicPr>
      </xdr:nvPicPr>
      <xdr:blipFill>
        <a:blip r:embed="rId147" r:link="rId4"/>
        <a:stretch>
          <a:fillRect/>
        </a:stretch>
      </xdr:blipFill>
      <xdr:spPr>
        <a:xfrm>
          <a:off x="3551555" y="101657150"/>
          <a:ext cx="647700" cy="62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0" name="ID_E20B724EF289427792736D728F451701"/>
        <xdr:cNvPicPr>
          <a:picLocks noChangeAspect="1"/>
        </xdr:cNvPicPr>
      </xdr:nvPicPr>
      <xdr:blipFill>
        <a:blip r:embed="rId148" r:link="rId4"/>
        <a:stretch>
          <a:fillRect/>
        </a:stretch>
      </xdr:blipFill>
      <xdr:spPr>
        <a:xfrm>
          <a:off x="3542030" y="102403275"/>
          <a:ext cx="647700" cy="590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2" name="ID_3A4E369D24554F1D9A116DF54EA9193C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10420985" y="87663020"/>
          <a:ext cx="560070" cy="523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6" name="ID_0E9D9C59EC3D47F196B84FCC4E3266EC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10347960" y="88433275"/>
          <a:ext cx="592455" cy="601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7" name="ID_90A7DB3664C74EBAB488AE7E33EA5C70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10287000" y="88839040"/>
          <a:ext cx="666115" cy="655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8" name="ID_27DDF369841F4338A915DA5FEEA703CD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10344785" y="89290525"/>
          <a:ext cx="557530" cy="523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9" name="ID_2DCF4733772B475DBE473FBE2F64FD0E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0295255" y="89719150"/>
          <a:ext cx="671830" cy="6280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0" name="ID_E4B3324C79C7442786561169E13C7562"/>
        <xdr:cNvPicPr>
          <a:picLocks noChangeAspect="1"/>
        </xdr:cNvPicPr>
      </xdr:nvPicPr>
      <xdr:blipFill>
        <a:blip r:embed="rId154" r:link="rId4"/>
        <a:stretch>
          <a:fillRect/>
        </a:stretch>
      </xdr:blipFill>
      <xdr:spPr>
        <a:xfrm>
          <a:off x="3513455" y="103743125"/>
          <a:ext cx="745490" cy="726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1" name="ID_EAB6FFC1A4CE4D7E888651ECE55FE862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3551555" y="105533825"/>
          <a:ext cx="707390" cy="822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2" name="ID_697E822C39C74663B6EC1C66493A8093"/>
        <xdr:cNvPicPr>
          <a:picLocks noChangeAspect="1"/>
        </xdr:cNvPicPr>
      </xdr:nvPicPr>
      <xdr:blipFill>
        <a:blip r:embed="rId156" r:link="rId4"/>
        <a:stretch>
          <a:fillRect/>
        </a:stretch>
      </xdr:blipFill>
      <xdr:spPr>
        <a:xfrm>
          <a:off x="3522980" y="104778175"/>
          <a:ext cx="695960" cy="6178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3" name="ID_BB96F2E2E24E449D883D94F296D00F99"/>
        <xdr:cNvPicPr>
          <a:picLocks noChangeAspect="1"/>
        </xdr:cNvPicPr>
      </xdr:nvPicPr>
      <xdr:blipFill>
        <a:blip r:embed="rId157" r:link="rId4"/>
        <a:stretch>
          <a:fillRect/>
        </a:stretch>
      </xdr:blipFill>
      <xdr:spPr>
        <a:xfrm>
          <a:off x="3589655" y="106553000"/>
          <a:ext cx="59055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4" name="ID_F5A7D8CF116D429693D52AC4DDC6F9A7"/>
        <xdr:cNvPicPr>
          <a:picLocks noChangeAspect="1"/>
        </xdr:cNvPicPr>
      </xdr:nvPicPr>
      <xdr:blipFill>
        <a:blip r:embed="rId158" r:link="rId4"/>
        <a:stretch>
          <a:fillRect/>
        </a:stretch>
      </xdr:blipFill>
      <xdr:spPr>
        <a:xfrm>
          <a:off x="3599180" y="107362625"/>
          <a:ext cx="581660" cy="505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7" name="ID_13E29AFB0EB649679EFA2FFF490AB939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3656330" y="108673900"/>
          <a:ext cx="631825" cy="62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5" name="ID_A2C3B3CA6A9D4E939FF76B33B0F901CF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3522345" y="108066205"/>
          <a:ext cx="857250" cy="5022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9" name="ID_89295D90516F4B8EB62F1CB85173106B"/>
        <xdr:cNvPicPr>
          <a:picLocks noChangeAspect="1"/>
        </xdr:cNvPicPr>
      </xdr:nvPicPr>
      <xdr:blipFill>
        <a:blip r:embed="rId161" r:link="rId4"/>
        <a:stretch>
          <a:fillRect/>
        </a:stretch>
      </xdr:blipFill>
      <xdr:spPr>
        <a:xfrm>
          <a:off x="3675380" y="97022920"/>
          <a:ext cx="467995" cy="5829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0" name="ID_9F187170BC4746C5B435554BB7D283F9"/>
        <xdr:cNvPicPr>
          <a:picLocks noChangeAspect="1"/>
        </xdr:cNvPicPr>
      </xdr:nvPicPr>
      <xdr:blipFill>
        <a:blip r:embed="rId162" r:link="rId4"/>
        <a:stretch>
          <a:fillRect/>
        </a:stretch>
      </xdr:blipFill>
      <xdr:spPr>
        <a:xfrm>
          <a:off x="3665220" y="54286150"/>
          <a:ext cx="334645" cy="447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1" name="ID_1BCCC3C9F45B4B24833D68B5EA540AC0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3684905" y="54975125"/>
          <a:ext cx="324485" cy="457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2" name="ID_16D6F081887741FC8A7AF90629F4987C"/>
        <xdr:cNvPicPr>
          <a:picLocks noChangeAspect="1"/>
        </xdr:cNvPicPr>
      </xdr:nvPicPr>
      <xdr:blipFill>
        <a:blip r:embed="rId164" r:link="rId4"/>
        <a:stretch>
          <a:fillRect/>
        </a:stretch>
      </xdr:blipFill>
      <xdr:spPr>
        <a:xfrm>
          <a:off x="3522980" y="114738150"/>
          <a:ext cx="728980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3" name="ID_53B9B71F3E354882AA9CC6105671EE2F"/>
        <xdr:cNvPicPr>
          <a:picLocks noChangeAspect="1"/>
        </xdr:cNvPicPr>
      </xdr:nvPicPr>
      <xdr:blipFill>
        <a:blip r:embed="rId165" r:link="rId4"/>
        <a:stretch>
          <a:fillRect/>
        </a:stretch>
      </xdr:blipFill>
      <xdr:spPr>
        <a:xfrm>
          <a:off x="3513455" y="114046000"/>
          <a:ext cx="695960" cy="62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4" name="ID_D18C91FC93984E3B8B3977F4FBBC00BF"/>
        <xdr:cNvPicPr>
          <a:picLocks noChangeAspect="1"/>
        </xdr:cNvPicPr>
      </xdr:nvPicPr>
      <xdr:blipFill>
        <a:blip r:embed="rId166" r:link="rId4"/>
        <a:stretch>
          <a:fillRect/>
        </a:stretch>
      </xdr:blipFill>
      <xdr:spPr>
        <a:xfrm>
          <a:off x="3522980" y="115398550"/>
          <a:ext cx="800100" cy="657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5" name="ID_937DCCD286D746B5A49944CE836F467C"/>
        <xdr:cNvPicPr>
          <a:picLocks noChangeAspect="1"/>
        </xdr:cNvPicPr>
      </xdr:nvPicPr>
      <xdr:blipFill>
        <a:blip r:embed="rId167" r:link="rId4"/>
        <a:stretch>
          <a:fillRect/>
        </a:stretch>
      </xdr:blipFill>
      <xdr:spPr>
        <a:xfrm>
          <a:off x="3599180" y="109427010"/>
          <a:ext cx="715010" cy="495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6" name="ID_BFF5B174119C44ED8ED0EACD120ECD24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3513455" y="110696375"/>
          <a:ext cx="820420" cy="58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7" name="ID_436DC852BBED4D24B2D0E051D7A5CD1D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3561080" y="110074075"/>
          <a:ext cx="759460" cy="537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8" name="ID_3101F6CC80FA45859D61F9E67F6755AD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3532505" y="111359950"/>
          <a:ext cx="683260" cy="591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9" name="ID_7020DE846258404197718E76DC077FA2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3580130" y="112763300"/>
          <a:ext cx="657860" cy="479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0" name="ID_C7BEC25DA5D6444CBE745F64249FF228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3570605" y="112131475"/>
          <a:ext cx="676910" cy="461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1" name="ID_5CC4DB4ED0D346EE933D86A53DFBD359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3522980" y="113379250"/>
          <a:ext cx="756285" cy="5276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2" name="ID_E38D1B652E164C22976AE9D12EA59349"/>
        <xdr:cNvPicPr>
          <a:picLocks noChangeAspect="1"/>
        </xdr:cNvPicPr>
      </xdr:nvPicPr>
      <xdr:blipFill>
        <a:blip r:embed="rId173" r:link="rId4"/>
        <a:stretch>
          <a:fillRect/>
        </a:stretch>
      </xdr:blipFill>
      <xdr:spPr>
        <a:xfrm>
          <a:off x="3570605" y="139160250"/>
          <a:ext cx="676910" cy="1153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3" name="ID_5D655BFB025F422D80F202A47E591030"/>
        <xdr:cNvPicPr>
          <a:picLocks noChangeAspect="1"/>
        </xdr:cNvPicPr>
      </xdr:nvPicPr>
      <xdr:blipFill>
        <a:blip r:embed="rId174" r:link="rId4"/>
        <a:stretch>
          <a:fillRect/>
        </a:stretch>
      </xdr:blipFill>
      <xdr:spPr>
        <a:xfrm>
          <a:off x="3561080" y="140379450"/>
          <a:ext cx="591185" cy="1153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6" name="ID_D2CB0F6625AD44CBBC4DEC27A7473E21"/>
        <xdr:cNvPicPr>
          <a:picLocks noChangeAspect="1"/>
        </xdr:cNvPicPr>
      </xdr:nvPicPr>
      <xdr:blipFill>
        <a:blip r:embed="rId175" r:link="rId4"/>
        <a:stretch>
          <a:fillRect/>
        </a:stretch>
      </xdr:blipFill>
      <xdr:spPr>
        <a:xfrm>
          <a:off x="3646805" y="141649450"/>
          <a:ext cx="685800" cy="1123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1" name="ID_FAC85673D1CD400198DEBDB2680998C5"/>
        <xdr:cNvPicPr>
          <a:picLocks noChangeAspect="1"/>
        </xdr:cNvPicPr>
      </xdr:nvPicPr>
      <xdr:blipFill>
        <a:blip r:embed="rId176" r:link="rId4"/>
        <a:stretch>
          <a:fillRect/>
        </a:stretch>
      </xdr:blipFill>
      <xdr:spPr>
        <a:xfrm>
          <a:off x="3551555" y="137055225"/>
          <a:ext cx="780415" cy="13442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2" name="ID_E9098A3E999641FDAB19AE09FCAB15ED"/>
        <xdr:cNvPicPr>
          <a:picLocks noChangeAspect="1"/>
        </xdr:cNvPicPr>
      </xdr:nvPicPr>
      <xdr:blipFill>
        <a:blip r:embed="rId177" r:link="rId4"/>
        <a:stretch>
          <a:fillRect/>
        </a:stretch>
      </xdr:blipFill>
      <xdr:spPr>
        <a:xfrm>
          <a:off x="3482340" y="122909330"/>
          <a:ext cx="876300" cy="562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3" name="ID_8F2FA11CD98B4526AC8AF9625C09D6A8"/>
        <xdr:cNvPicPr>
          <a:picLocks noChangeAspect="1"/>
        </xdr:cNvPicPr>
      </xdr:nvPicPr>
      <xdr:blipFill>
        <a:blip r:embed="rId178" r:link="rId4"/>
        <a:stretch>
          <a:fillRect/>
        </a:stretch>
      </xdr:blipFill>
      <xdr:spPr>
        <a:xfrm>
          <a:off x="3503295" y="122374025"/>
          <a:ext cx="734060" cy="419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" name="ID_81021AD4D5974D228B934FA8CD3B829B"/>
        <xdr:cNvPicPr>
          <a:picLocks noChangeAspect="1"/>
        </xdr:cNvPicPr>
      </xdr:nvPicPr>
      <xdr:blipFill>
        <a:blip r:embed="rId179" r:link="rId4"/>
        <a:stretch>
          <a:fillRect/>
        </a:stretch>
      </xdr:blipFill>
      <xdr:spPr>
        <a:xfrm>
          <a:off x="3503930" y="123576715"/>
          <a:ext cx="685165" cy="454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5" name="ID_2986AE4DCDF84ABD98640C0C39C7D360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3542030" y="124888625"/>
          <a:ext cx="636905" cy="276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6" name="ID_40FE351CA6A04FB6AF5E66147F9C3A10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3561080" y="124221875"/>
          <a:ext cx="735330" cy="352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7" name="ID_B0E2EAA4A19A4707B83451124E241AA0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3656330" y="125460125"/>
          <a:ext cx="377190" cy="485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8" name="ID_21AC5E97694C4727B293EF25F14E0A12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3503930" y="126717425"/>
          <a:ext cx="857250" cy="391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9" name="ID_0FE6BD56ACD6448AA2D7CDAB56921DC1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3627755" y="126041150"/>
          <a:ext cx="546735" cy="409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0" name="ID_5D98BF377A104F379862099722881841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3570605" y="127288925"/>
          <a:ext cx="762635" cy="295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1" name="ID_41434BB25B6F46C0BACC9C5DF68D262D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3522980" y="127841375"/>
          <a:ext cx="714375" cy="5518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2" name="ID_38C7D96D06444D16A72C1715914F6DF8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3580130" y="128477645"/>
          <a:ext cx="552450" cy="544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3" name="ID_C125E05595FA41E7989BA1F4FF164CD7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3522980" y="129279650"/>
          <a:ext cx="952500" cy="545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4" name="ID_FD70D3D409E6434AB1453C10DE78D07E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3513455" y="130321050"/>
          <a:ext cx="1082675" cy="3498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5" name="ID_144A680F20B248A994DA63BE46C556D4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3703955" y="130895725"/>
          <a:ext cx="514350" cy="466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6" name="ID_4927780E1F46446BBBA2B20A545F04D7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3751580" y="131498975"/>
          <a:ext cx="581025" cy="539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7" name="ID_A429F2ADAE6B4FBF9938E34CFF03D99A"/>
        <xdr:cNvPicPr>
          <a:picLocks noChangeAspect="1"/>
        </xdr:cNvPicPr>
      </xdr:nvPicPr>
      <xdr:blipFill>
        <a:blip r:embed="rId192" r:link="rId4"/>
        <a:stretch>
          <a:fillRect/>
        </a:stretch>
      </xdr:blipFill>
      <xdr:spPr>
        <a:xfrm>
          <a:off x="3599180" y="134121525"/>
          <a:ext cx="533400" cy="514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8" name="ID_CF5EA167279A49E2B54B81632E6AF1D1"/>
        <xdr:cNvPicPr>
          <a:picLocks noChangeAspect="1"/>
        </xdr:cNvPicPr>
      </xdr:nvPicPr>
      <xdr:blipFill>
        <a:blip r:embed="rId193" r:link="rId4"/>
        <a:stretch>
          <a:fillRect/>
        </a:stretch>
      </xdr:blipFill>
      <xdr:spPr>
        <a:xfrm>
          <a:off x="3551555" y="134673975"/>
          <a:ext cx="590550" cy="448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9" name="ID_9558C6C6C43F4BFD8EB70EA6474E4F9E"/>
        <xdr:cNvPicPr>
          <a:picLocks noChangeAspect="1"/>
        </xdr:cNvPicPr>
      </xdr:nvPicPr>
      <xdr:blipFill>
        <a:blip r:embed="rId194" r:link="rId4"/>
        <a:stretch>
          <a:fillRect/>
        </a:stretch>
      </xdr:blipFill>
      <xdr:spPr>
        <a:xfrm>
          <a:off x="3522980" y="132695950"/>
          <a:ext cx="742950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0" name="ID_DB3FA36AA6C640478172E66DBE4DD300"/>
        <xdr:cNvPicPr>
          <a:picLocks noChangeAspect="1"/>
        </xdr:cNvPicPr>
      </xdr:nvPicPr>
      <xdr:blipFill>
        <a:blip r:embed="rId195" r:link="rId4"/>
        <a:stretch>
          <a:fillRect/>
        </a:stretch>
      </xdr:blipFill>
      <xdr:spPr>
        <a:xfrm>
          <a:off x="3475355" y="133657975"/>
          <a:ext cx="781050" cy="304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1" name="ID_9631D604F1CD46D182D7790BF02692B1"/>
        <xdr:cNvPicPr>
          <a:picLocks noChangeAspect="1"/>
        </xdr:cNvPicPr>
      </xdr:nvPicPr>
      <xdr:blipFill>
        <a:blip r:embed="rId196" r:link="rId4"/>
        <a:stretch>
          <a:fillRect/>
        </a:stretch>
      </xdr:blipFill>
      <xdr:spPr>
        <a:xfrm>
          <a:off x="3732530" y="132143500"/>
          <a:ext cx="314960" cy="524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2" name="ID_198894E60F98444B8150364D04885C1B"/>
        <xdr:cNvPicPr>
          <a:picLocks noChangeAspect="1"/>
        </xdr:cNvPicPr>
      </xdr:nvPicPr>
      <xdr:blipFill>
        <a:blip r:embed="rId197" r:link="rId4"/>
        <a:stretch>
          <a:fillRect/>
        </a:stretch>
      </xdr:blipFill>
      <xdr:spPr>
        <a:xfrm>
          <a:off x="3780790" y="135260715"/>
          <a:ext cx="190500" cy="609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7838F101075740D5948E548BD8E4A955"/>
        <xdr:cNvPicPr>
          <a:picLocks noChangeAspect="1"/>
        </xdr:cNvPicPr>
      </xdr:nvPicPr>
      <xdr:blipFill>
        <a:blip r:embed="rId198" r:link="rId4"/>
        <a:stretch>
          <a:fillRect/>
        </a:stretch>
      </xdr:blipFill>
      <xdr:spPr>
        <a:xfrm>
          <a:off x="3617595" y="24532590"/>
          <a:ext cx="604520" cy="524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2F29796925AB4923860BE96FB9F4F30C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0196195" y="6057900"/>
          <a:ext cx="686435" cy="6648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00C0E9BA17AC4CD8AE8D3168822C4C3E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0196195" y="6756400"/>
          <a:ext cx="781685" cy="642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3" name="ID_49E1F2B9F52249EE94364821653B81CC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4249420" y="35153600"/>
          <a:ext cx="709930" cy="587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4" name="ID_A5C2B0DD7595464784506A1489198F27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0196195" y="100177600"/>
          <a:ext cx="464185" cy="612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5" name="ID_4809F8C8B89849D087B2037E6F7B9294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0196195" y="31305500"/>
          <a:ext cx="630555" cy="686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6" name="ID_A6822980B6484D5F9C3C94A6B7E80B8D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0196195" y="67945000"/>
          <a:ext cx="839470" cy="584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7" name="ID_E16289B6F28649FDAB50798289A4A6CA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0415270" y="101393625"/>
          <a:ext cx="844550" cy="361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8" name="ID_81956F53DFF447AE93897B500E6FD058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0415270" y="101873050"/>
          <a:ext cx="1134110" cy="342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9" name="ID_E964D33F82444F1894EE14417A3B8D4C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0415270" y="102501700"/>
          <a:ext cx="1019810" cy="657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0" name="ID_2AD37AE7A3F04282B14483177845D5FA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0148570" y="102158800"/>
          <a:ext cx="1153160" cy="5048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<sst xmlns="http://schemas.openxmlformats.org/spreadsheetml/2006/main" count="1770" uniqueCount="578">
  <si>
    <t>箭牌洁具年度采购清单</t>
  </si>
  <si>
    <t>序号</t>
  </si>
  <si>
    <t>产品类目</t>
  </si>
  <si>
    <t>品牌</t>
  </si>
  <si>
    <t xml:space="preserve">产品名称
</t>
  </si>
  <si>
    <t>产品型号</t>
  </si>
  <si>
    <t>产品等级</t>
  </si>
  <si>
    <t xml:space="preserve">产品图片
</t>
  </si>
  <si>
    <t>规格尺寸</t>
  </si>
  <si>
    <t>产品参数</t>
  </si>
  <si>
    <t>单位</t>
  </si>
  <si>
    <t>数量</t>
  </si>
  <si>
    <t>单价限价
（元/m²）</t>
  </si>
  <si>
    <t>单价（元）</t>
  </si>
  <si>
    <t>总价（元）</t>
  </si>
  <si>
    <t>坐便器</t>
  </si>
  <si>
    <t>箭牌ARROW</t>
  </si>
  <si>
    <t>智能坐便器</t>
  </si>
  <si>
    <t>AD817M/L</t>
  </si>
  <si>
    <t>优等品</t>
  </si>
  <si>
    <t>L708×W412×H470
坑距：305/400</t>
  </si>
  <si>
    <t xml:space="preserve">1.功能：自动翻盖/臂部清洗
女性清洗/座圈加热
智能除臭/前置过滤器
润瓷/喷枪紫外线杀菌
旋钮式/遥控器               
</t>
  </si>
  <si>
    <t>套</t>
  </si>
  <si>
    <t>AD819-1M/L</t>
  </si>
  <si>
    <t>L683×W425×H525
坑距：305/400</t>
  </si>
  <si>
    <t xml:space="preserve">1.功能：脚触冲水/座圈抗菌
坐圈加热/臀部清洗
女性清洗/前置过滤器
暖风烘干/智能除臭
柔光照明/移动清洗          
</t>
  </si>
  <si>
    <t>AG801H-1M/L</t>
  </si>
  <si>
    <t>尺寸：L680×W410×H475
坑距：305/400mm</t>
  </si>
  <si>
    <t>座圈加热/离座冲水
夜灯照明/妇洗臀洗
喷头自洁/暖风烘干
自动除臭/ 停电冲水</t>
  </si>
  <si>
    <t>AD802H</t>
  </si>
  <si>
    <t>尺寸：L660×W420×H520
坑距：305/400mm</t>
  </si>
  <si>
    <t>座圈加热/离座冲水
夜灯照明/一键旋钮
妇洗便洗/喷头自洁
通便理疗/暖风烘干
自动除臭</t>
  </si>
  <si>
    <t>AB1183
/AB1183U+PG005</t>
  </si>
  <si>
    <t>喷射虹吸式连体坐便器
尺寸：735*375*755mm
坑距：300/400</t>
  </si>
  <si>
    <t>喷射虹吸式连体坐便器
含盖板，纳米自洁釉面</t>
  </si>
  <si>
    <t>轻智能马桶</t>
  </si>
  <si>
    <t>AG806A</t>
  </si>
  <si>
    <t>轻智能坐便器
尺寸：L703×W390×H455
坑距：305/400mm
水效：2级水效</t>
  </si>
  <si>
    <t>低水压冲水
座圈加热
离座冲水
夜灯照明
手动排水</t>
  </si>
  <si>
    <t>AD823AM/L</t>
  </si>
  <si>
    <t>L703×W395×H461
坑距：305/400</t>
  </si>
  <si>
    <t>低水压冲水/座圈加热
离座冲水/夜灯照明
手动排水/停电排水
脚触冲水/侧边按键</t>
  </si>
  <si>
    <t>AD827A</t>
  </si>
  <si>
    <t>L625×W390×H449
坑距：305/400</t>
  </si>
  <si>
    <t>侧边按键 /座圈加热 
离座冲水 /脚触冲水</t>
  </si>
  <si>
    <t>AD810AQM/L</t>
  </si>
  <si>
    <t>L712×W394×H456
坑距：305/400</t>
  </si>
  <si>
    <t>脚触冲水/感应润瓷
下沉式水箱/圆弧跑道按键设计
座圈加热/离座冲水
夜灯照明/脚触翻圈翻盖</t>
  </si>
  <si>
    <t>AB1116</t>
  </si>
  <si>
    <t xml:space="preserve">
喷射虹吸式连体坐便器尺寸：L725×W355×H743
坑距：305/400mm
水效：1级水效</t>
  </si>
  <si>
    <t>AB1187U+PG005-A</t>
  </si>
  <si>
    <t>旋涡虹吸式连体坐便器
尺寸：L741×W383×H743
坑距：305/400mm
水效：1级水效</t>
  </si>
  <si>
    <t>旋涡虹吸式连体坐便器
含盖板，纳米自洁釉面</t>
  </si>
  <si>
    <t>AG1078-1</t>
  </si>
  <si>
    <t>喷射虹吸式连体坐便器
尺寸：L720×W362×H727
坑距：305/400mm
水效：1级水效</t>
  </si>
  <si>
    <t>AG1081</t>
  </si>
  <si>
    <t>AG1081-A</t>
  </si>
  <si>
    <t>AG1253</t>
  </si>
  <si>
    <t>喷射虹吸式连体坐便器
尺寸：L685×W370×H725
坑距：305/400mm
水效：1级水效</t>
  </si>
  <si>
    <t>AG1007UM/L（含 
PG005-ZPA）</t>
  </si>
  <si>
    <t>漩涡虹吸式
连体坐便器L745xW380xH750mm
坑距：305/400mm
水效：1级水效</t>
  </si>
  <si>
    <t>漩涡虹吸式连体坐便器
含盖板，纳米自洁釉面</t>
  </si>
  <si>
    <t>AG11019M/(含盖板PLG003-ZPA)</t>
  </si>
  <si>
    <t>喷射虹吸式连体坐便器L650xW370xH670mm
坑距：305/400mm
水效：1级水效</t>
  </si>
  <si>
    <t>儿童坐便器</t>
  </si>
  <si>
    <t>AB1237</t>
  </si>
  <si>
    <t>连体儿童坐便器
尺寸：L540×W338×H615
坑距：190mm
水效：1级水效</t>
  </si>
  <si>
    <t>马桶大靠背设计，预防后仰摔跤
含盖板，纳米自洁釉面</t>
  </si>
  <si>
    <t>AB1167S</t>
  </si>
  <si>
    <t>喷射虹吸式连体儿童坐便器
尺寸：L510×W281×H599
坑距：185mm
水效：1级水效</t>
  </si>
  <si>
    <t>喷射虹吸式儿童连体坐便器
含盖板，纳米自洁釉面</t>
  </si>
  <si>
    <t>上翻扶手</t>
  </si>
  <si>
    <t>AG5605SM</t>
  </si>
  <si>
    <t>尺寸：D614xW77xH200mm      颜色/材质:不锈钢+铝+尼龙</t>
  </si>
  <si>
    <t xml:space="preserve">颜色/材质：不锈钢 + 铝 </t>
  </si>
  <si>
    <t>一字型扶手</t>
  </si>
  <si>
    <t>AG5611NO</t>
  </si>
  <si>
    <t>尺寸：D82.7xW392xH72mm    颜色/材质：铝+塑料</t>
  </si>
  <si>
    <t>颜色/材质：铝+塑料</t>
  </si>
  <si>
    <t>智能盖板</t>
  </si>
  <si>
    <t>AK1010</t>
  </si>
  <si>
    <t>尺寸：533*466*134</t>
  </si>
  <si>
    <t>座圈加热/通便
夜灯照明/妇洗臀洗
喷头自洁/暖风烘干</t>
  </si>
  <si>
    <t>AK1011</t>
  </si>
  <si>
    <t>尺寸：525*444*129</t>
  </si>
  <si>
    <t>角阀</t>
  </si>
  <si>
    <t>AF5220CP</t>
  </si>
  <si>
    <t>尺寸：Φ50*90*G1/2
材质：主体铜合金</t>
  </si>
  <si>
    <t>精选黄铜主体，经久耐用
耐高压、耐断裂、结构紧密、一体成型</t>
  </si>
  <si>
    <t>AS02A</t>
  </si>
  <si>
    <t>三角阀
尺寸：Φ45×85</t>
  </si>
  <si>
    <t>AF5203M</t>
  </si>
  <si>
    <t>饮用水套装</t>
  </si>
  <si>
    <t>AG5303CP</t>
  </si>
  <si>
    <t>饮用水套装三角阀
尺寸：Φ50×88.5</t>
  </si>
  <si>
    <t>铜镀铬 +ABS 手轮</t>
  </si>
  <si>
    <t>红蓝套装</t>
  </si>
  <si>
    <t>AG5301</t>
  </si>
  <si>
    <t>红蓝套装三角阀
尺寸：Φ50×110</t>
  </si>
  <si>
    <t>红蓝套装三角阀</t>
  </si>
  <si>
    <t>AG5308SS</t>
  </si>
  <si>
    <t>红蓝套装三角阀
尺寸：Φ50×88</t>
  </si>
  <si>
    <t>饮用水单冷角阀</t>
  </si>
  <si>
    <t>AG5302-C</t>
  </si>
  <si>
    <t>饮用水单冷三角阀
尺寸：Φ50×95</t>
  </si>
  <si>
    <t>饮用水单热角阀</t>
  </si>
  <si>
    <t>AG5302-H</t>
  </si>
  <si>
    <t>饮用水单热三角阀
尺寸：Φ50×95</t>
  </si>
  <si>
    <t>软管</t>
  </si>
  <si>
    <t>ABJ10-50</t>
  </si>
  <si>
    <t>不锈钢双头编织管
尺寸：Φ14×500</t>
  </si>
  <si>
    <t>不锈钢编织
抗压耐腐蚀</t>
  </si>
  <si>
    <t>根</t>
  </si>
  <si>
    <t>AF5815-50
（同AG5815-50)</t>
  </si>
  <si>
    <t>蹲便器</t>
  </si>
  <si>
    <t>ALD507G-1</t>
  </si>
  <si>
    <t>尺寸：L577×W453×H293</t>
  </si>
  <si>
    <t>后进后排，带存水弯</t>
  </si>
  <si>
    <t>ALD507CE</t>
  </si>
  <si>
    <t>尺寸：L583×W455×H205</t>
  </si>
  <si>
    <t>后进前排，不带存水弯</t>
  </si>
  <si>
    <t>ALD506B</t>
  </si>
  <si>
    <t>尺寸：L646×W500×H330</t>
  </si>
  <si>
    <t>后进前排，带存水弯</t>
  </si>
  <si>
    <t>ALD507</t>
  </si>
  <si>
    <t>尺寸：L582×W452×H317</t>
  </si>
  <si>
    <t>ALD515-1E</t>
  </si>
  <si>
    <t>尺寸：L600×W450×H256</t>
  </si>
  <si>
    <t>ALD51009D</t>
  </si>
  <si>
    <t>尺寸：L600xW445xH274mm</t>
  </si>
  <si>
    <t>ALD51014E</t>
  </si>
  <si>
    <t>尺寸：L560xW430xH300mm</t>
  </si>
  <si>
    <t>ALD536C</t>
  </si>
  <si>
    <t>儿童分体蹲便器
尺寸：L484×W389×H205</t>
  </si>
  <si>
    <t>后进后排，不带存水弯</t>
  </si>
  <si>
    <t>AGLD52015D</t>
  </si>
  <si>
    <t>尺寸：L425xW335xH265mm</t>
  </si>
  <si>
    <t>儿童水箱</t>
  </si>
  <si>
    <t>AS115</t>
  </si>
  <si>
    <t>L385×W120×H470</t>
  </si>
  <si>
    <t>半排：3.3
全排： 5</t>
  </si>
  <si>
    <t>水箱</t>
  </si>
  <si>
    <t>AS117</t>
  </si>
  <si>
    <t>L360×W120×H370</t>
  </si>
  <si>
    <t>半排：4.9
全排： 7</t>
  </si>
  <si>
    <t>AG5713</t>
  </si>
  <si>
    <t>AS202</t>
  </si>
  <si>
    <t>L370×W105×H390</t>
  </si>
  <si>
    <t>蹲便器入墙隐藏水箱</t>
  </si>
  <si>
    <t>ASY820DZA</t>
  </si>
  <si>
    <t>L532×W82×H1140</t>
  </si>
  <si>
    <t>半排：4.2
全排：6.0</t>
  </si>
  <si>
    <t>蹲便器入墙隐藏水箱配置面板</t>
  </si>
  <si>
    <t>ABM003A</t>
  </si>
  <si>
    <t>L245×W165×H35</t>
  </si>
  <si>
    <t>ABS/白色</t>
  </si>
  <si>
    <t>ABM003B</t>
  </si>
  <si>
    <t>ABS/黑色</t>
  </si>
  <si>
    <t>ABM005A</t>
  </si>
  <si>
    <t>ABS/枪灰</t>
  </si>
  <si>
    <t>手按阀</t>
  </si>
  <si>
    <t>A04</t>
  </si>
  <si>
    <t>L128×W53×H154</t>
  </si>
  <si>
    <t>接管 G1/2，直排</t>
  </si>
  <si>
    <t>脚踩阀</t>
  </si>
  <si>
    <t>A87873C</t>
  </si>
  <si>
    <t>L191×Φ65×H126</t>
  </si>
  <si>
    <t>接管 G1， 直排</t>
  </si>
  <si>
    <t>A87875C</t>
  </si>
  <si>
    <t>L112×W60×H120</t>
  </si>
  <si>
    <t>AG5381CP</t>
  </si>
  <si>
    <t>L198×Φ56×H139</t>
  </si>
  <si>
    <t>带进水弯管</t>
  </si>
  <si>
    <t>冲洗管</t>
  </si>
  <si>
    <t>120*40</t>
  </si>
  <si>
    <t>尺寸：1200*300</t>
  </si>
  <si>
    <t>G1， 直排</t>
  </si>
  <si>
    <t>40*40</t>
  </si>
  <si>
    <t>尺寸：400*400</t>
  </si>
  <si>
    <t>小便器</t>
  </si>
  <si>
    <t>挂式小便器</t>
  </si>
  <si>
    <t>AN632</t>
  </si>
  <si>
    <t xml:space="preserve">尺寸：D365×W345×H745
</t>
  </si>
  <si>
    <t>上进墙排，后进墙排</t>
  </si>
  <si>
    <t>挂式一体小便器</t>
  </si>
  <si>
    <t>AN636</t>
  </si>
  <si>
    <t xml:space="preserve">尺寸：D370×W357×H770
</t>
  </si>
  <si>
    <t>后进墙排</t>
  </si>
  <si>
    <t>AN639</t>
  </si>
  <si>
    <t xml:space="preserve">尺寸：D332×W266×H670
</t>
  </si>
  <si>
    <t>落地式小便器</t>
  </si>
  <si>
    <t>AN635</t>
  </si>
  <si>
    <t xml:space="preserve">尺寸：D365×W352×H1025
</t>
  </si>
  <si>
    <t>后进地排</t>
  </si>
  <si>
    <t>AN661</t>
  </si>
  <si>
    <t xml:space="preserve">尺寸：D372×W317×H597
</t>
  </si>
  <si>
    <t>AGN65613C</t>
  </si>
  <si>
    <t>尺寸：D360*W310*H720(mm)</t>
  </si>
  <si>
    <t>AN650</t>
  </si>
  <si>
    <t>尺寸：D408xW376xH720mm</t>
  </si>
  <si>
    <t>儿童挂式小便器</t>
  </si>
  <si>
    <t>AN630</t>
  </si>
  <si>
    <t>尺寸：D252×W314×H429</t>
  </si>
  <si>
    <t>上进地排</t>
  </si>
  <si>
    <t>小便去水（地排水辅材）</t>
  </si>
  <si>
    <t>A8-015</t>
  </si>
  <si>
    <t>尺寸: G1-1/4〞x H500mm</t>
  </si>
  <si>
    <t>不锈钢</t>
  </si>
  <si>
    <t>小便延迟阀</t>
  </si>
  <si>
    <t>C05/AG5386CP</t>
  </si>
  <si>
    <t>尺寸: L120×W56×H221</t>
  </si>
  <si>
    <t>小便器扶手（残卫）</t>
  </si>
  <si>
    <t>AG5606SM</t>
  </si>
  <si>
    <t>尺寸：D593xW643xH370mm      颜色/材质:不锈钢+铝+尼龙</t>
  </si>
  <si>
    <t>不锈钢 + 铝 + 尼龙</t>
  </si>
  <si>
    <t>台盆</t>
  </si>
  <si>
    <t>台下盆</t>
  </si>
  <si>
    <t>ATX5637FC
/AP4036</t>
  </si>
  <si>
    <t>尺寸：L545×W365×H205</t>
  </si>
  <si>
    <t>超洁釉、一体成型工艺</t>
  </si>
  <si>
    <t>AP4035</t>
  </si>
  <si>
    <t>尺寸：L620×W418×H230</t>
  </si>
  <si>
    <t>ATX5942F
/AP4008-1</t>
  </si>
  <si>
    <t>尺寸：L580×W420×H198</t>
  </si>
  <si>
    <t>AF45006
/AP406E</t>
  </si>
  <si>
    <t>尺寸：L528×W415×H234</t>
  </si>
  <si>
    <t xml:space="preserve">AP41010B </t>
  </si>
  <si>
    <t>L400×W400×H200</t>
  </si>
  <si>
    <t>儿童台下盆</t>
  </si>
  <si>
    <t>ATX4235/AP402</t>
  </si>
  <si>
    <t>尺寸：L420×W355×H215</t>
  </si>
  <si>
    <t>AP406AE</t>
  </si>
  <si>
    <t>台上盆</t>
  </si>
  <si>
    <t>AP439E</t>
  </si>
  <si>
    <t>尺寸：L460×W370×H133</t>
  </si>
  <si>
    <t>AP41024B-A</t>
  </si>
  <si>
    <t>L400×W400×H158</t>
  </si>
  <si>
    <t>AP41025B-A</t>
  </si>
  <si>
    <t>L400×W400×H160</t>
  </si>
  <si>
    <t>半嵌盆</t>
  </si>
  <si>
    <t>AGP42054C</t>
  </si>
  <si>
    <t>尺寸：L495xW455xH185mm</t>
  </si>
  <si>
    <t>挂盆</t>
  </si>
  <si>
    <t>AGP32032E（盆）
AGL9604C（立柱</t>
  </si>
  <si>
    <t>L650×W495×H495</t>
  </si>
  <si>
    <t>立柱盆</t>
  </si>
  <si>
    <t>AP304E/AL901</t>
  </si>
  <si>
    <t>柱盆： L520×W480×H204
落地柱：L230×W195×H645</t>
  </si>
  <si>
    <t>AP31017C/AL9009A</t>
  </si>
  <si>
    <t>盆尺寸：L520*W420*H185(mm)
柱尺寸：L200*W210*H685(mm)</t>
  </si>
  <si>
    <t>AP31018C/AL9009A</t>
  </si>
  <si>
    <t>盆尺寸：L575*W445*H185(mm)
柱尺寸：L200*W210*H685(mm)</t>
  </si>
  <si>
    <t>儿童立柱盆</t>
  </si>
  <si>
    <t>AP337/AL937</t>
  </si>
  <si>
    <t>柱盆：L365×W435×H165
落地柱：L190×W210×H440</t>
  </si>
  <si>
    <t>面盆扶手（残卫）</t>
  </si>
  <si>
    <t>AG5607SM</t>
  </si>
  <si>
    <t>尺寸：L800xW700xH160mm      颜色/材质:不锈钢+铝+尼龙</t>
  </si>
  <si>
    <t>弹跳去水器（含溢流孔）</t>
  </si>
  <si>
    <t>AG5821CP</t>
  </si>
  <si>
    <t>Φ64×182</t>
  </si>
  <si>
    <t>防腐耐磨、防堵防漏</t>
  </si>
  <si>
    <t>弹跳去水器（无溢流孔）</t>
  </si>
  <si>
    <t>AG5822CP</t>
  </si>
  <si>
    <t>Φ66×215</t>
  </si>
  <si>
    <t>AG5841CP</t>
  </si>
  <si>
    <t>Φ60*130</t>
  </si>
  <si>
    <t>翻板去水器</t>
  </si>
  <si>
    <t>AQS015A</t>
  </si>
  <si>
    <t>Φ60*178.5</t>
  </si>
  <si>
    <t>AG5816CP</t>
  </si>
  <si>
    <t>Φ60×180</t>
  </si>
  <si>
    <t>AG5305</t>
  </si>
  <si>
    <t>Φ60×160</t>
  </si>
  <si>
    <t>AF5303A</t>
  </si>
  <si>
    <t>Φ60x180</t>
  </si>
  <si>
    <t>AG5840CP</t>
  </si>
  <si>
    <t>Φ62×128</t>
  </si>
  <si>
    <t>波纹管</t>
  </si>
  <si>
    <t>ASG1002A</t>
  </si>
  <si>
    <t>Φ60×400</t>
  </si>
  <si>
    <t>防臭、可伸缩、
耐腐蚀</t>
  </si>
  <si>
    <t>不锈钢波纹管</t>
  </si>
  <si>
    <t>AG5915</t>
  </si>
  <si>
    <t>Φ33×900×G1-1/4</t>
  </si>
  <si>
    <t>可伸缩、耐腐蚀</t>
  </si>
  <si>
    <t>ASG9001</t>
  </si>
  <si>
    <t>Φ33*900</t>
  </si>
  <si>
    <t>龙头</t>
  </si>
  <si>
    <t>感应水龙头</t>
  </si>
  <si>
    <t>AGY1703A/B</t>
  </si>
  <si>
    <t>单孔 软管连接 G1/2</t>
  </si>
  <si>
    <t>感应单冷龙头
备注：A交流，B直流</t>
  </si>
  <si>
    <t>感应龙头</t>
  </si>
  <si>
    <t>AGY1703AH/BH</t>
  </si>
  <si>
    <t>感应冷暖龙头
备注：A交流，B直流</t>
  </si>
  <si>
    <t>AG4316A/B</t>
  </si>
  <si>
    <t>冷热感应龙头</t>
  </si>
  <si>
    <t>AG4316AH/BH</t>
  </si>
  <si>
    <t>AG4303AB</t>
  </si>
  <si>
    <t>单冷感应龙头</t>
  </si>
  <si>
    <t>AG4309AB</t>
  </si>
  <si>
    <t>交直流一体
颜色：镀铬</t>
  </si>
  <si>
    <t>感应面盆龙</t>
  </si>
  <si>
    <t>镀铬：AA31-01TCP
枪灰：AA31-01TGG
单冷控制盒：AA31-00ACNO
冷热控制盒：AA31-00AHNO</t>
  </si>
  <si>
    <t>材 质 ：铜合金
颜 色：镀铬/枪灰
出水角度：25.9° 
出水高度：95mm
出水中心距：118.3mm</t>
  </si>
  <si>
    <t>单冷镀铬色</t>
  </si>
  <si>
    <t>单冷枪灰色</t>
  </si>
  <si>
    <t>冷热镀铬色</t>
  </si>
  <si>
    <t>冷热枪灰色</t>
  </si>
  <si>
    <t>入墙感应面盆龙头</t>
  </si>
  <si>
    <t>镀铬：AA31-00RCP
枪灰：AA31-00RGG
预埋体：AA31RQ01
单冷控制盒：AA31-00ACNO
冷热控制盒：AA31-00AHNO</t>
  </si>
  <si>
    <t>材 质：不锈钢
颜 色：镀铬/枪灰
需要搭配预埋盒型号：AA31RQ01
出水角度：30° 离墙出水嘴中心距：209mm</t>
  </si>
  <si>
    <t>镀铬：AA31-01RCP
枪灰：AA31-01RGG
预埋体：AA31RQ01
单冷控制盒：AA31-00ACNO
冷热控制盒：AA31-00AHNO</t>
  </si>
  <si>
    <t>材 质 ：锌合金主体
颜 色：镀铬/枪灰
需要搭配预埋盒型号：AA31RQ01
出水角度：16.6° 离墙出水嘴中心距：207mm</t>
  </si>
  <si>
    <t>镀铬：AA31-02RCP
枪灰：AA31-02RGG
预埋体：AA31RQ01
单冷控制盒：AA31-00ACNO
冷热控制盒：AA31-00AHNO</t>
  </si>
  <si>
    <t>材 质 ：铜合金主体
颜 色：镀铬/枪灰
需要搭配预埋盒型号：AA31RQ01
出水角度：29° 离墙出水嘴中心距：213mm</t>
  </si>
  <si>
    <t>镀铬：AA31-03RCP
枪灰：AA31-03RGG
预埋体：AA31RQ01
单冷控制盒：AA31-00ACNO
冷热控制盒：AA31-00AHNO</t>
  </si>
  <si>
    <t>材 质 ：锌合金
颜 色：镀铬/枪灰
需要搭配预埋盒型号：AA31RQ01
出水角度：6° 离墙出水嘴中心距：203.5mm</t>
  </si>
  <si>
    <t>AG4205CP</t>
  </si>
  <si>
    <t>公称通径：15
进水口螺纹规格：G1/2</t>
  </si>
  <si>
    <t>入墙龙头</t>
  </si>
  <si>
    <t>AG4202</t>
  </si>
  <si>
    <t>AG4201</t>
  </si>
  <si>
    <t>入墙感应龙头</t>
  </si>
  <si>
    <t>AG4301</t>
  </si>
  <si>
    <t>延迟单冷龙头</t>
  </si>
  <si>
    <t>AG4001</t>
  </si>
  <si>
    <t>单冷龙头</t>
  </si>
  <si>
    <t>AG4109U</t>
  </si>
  <si>
    <t>AMP11896CP</t>
  </si>
  <si>
    <t>冷热水龙头</t>
  </si>
  <si>
    <t>AD4141CP</t>
  </si>
  <si>
    <t xml:space="preserve"> 
AD4163CP</t>
  </si>
  <si>
    <t>单孔冷热
面盆龙头</t>
  </si>
  <si>
    <t>AD4147CP</t>
  </si>
  <si>
    <t>AD4148CP</t>
  </si>
  <si>
    <t>AG4107</t>
  </si>
  <si>
    <t>AG4106</t>
  </si>
  <si>
    <t>面盆龙头</t>
  </si>
  <si>
    <t>AG4170SS-2</t>
  </si>
  <si>
    <t>AG4121</t>
  </si>
  <si>
    <t>AG4120</t>
  </si>
  <si>
    <t>AG4113-1</t>
  </si>
  <si>
    <t>面盆抽拉龙头</t>
  </si>
  <si>
    <t>AG4129CP</t>
  </si>
  <si>
    <t>AG4106MB</t>
  </si>
  <si>
    <t>冷热哑黑色</t>
  </si>
  <si>
    <t>黑色面盆龙头</t>
  </si>
  <si>
    <t>AG4107H</t>
  </si>
  <si>
    <t>AD4147GGP</t>
  </si>
  <si>
    <t>冷热水镀枪灰</t>
  </si>
  <si>
    <t>AD4148GGW</t>
  </si>
  <si>
    <t>加高儿童龙头</t>
  </si>
  <si>
    <t>AMP1130</t>
  </si>
  <si>
    <t>拖把池龙头</t>
  </si>
  <si>
    <t>AG4601A</t>
  </si>
  <si>
    <t>阳台水咀龙头</t>
  </si>
  <si>
    <t>重力铸造技术、晶
镀技术</t>
  </si>
  <si>
    <t>拖把池加长龙头</t>
  </si>
  <si>
    <t>AG4602A</t>
  </si>
  <si>
    <t>加长阳台水咀龙头</t>
  </si>
  <si>
    <t xml:space="preserve">AF4633CP </t>
  </si>
  <si>
    <t>尺寸：156*Φ50*86*G1/2
材质：主体铜合金+ABS把手</t>
  </si>
  <si>
    <t>洗衣机龙头</t>
  </si>
  <si>
    <t>AXJ1106CP</t>
  </si>
  <si>
    <t>花洒</t>
  </si>
  <si>
    <t>两功能花洒</t>
  </si>
  <si>
    <t>AG3606</t>
  </si>
  <si>
    <t>两功能</t>
  </si>
  <si>
    <t>尺寸:手持中110mm推荐水压:0.15MPa~0.5MPa材质工艺:本体铜质镀铬吐水口:带起泡器</t>
  </si>
  <si>
    <t>单功能挂墙淋浴花洒</t>
  </si>
  <si>
    <t>AG3503CP</t>
  </si>
  <si>
    <t>单功能</t>
  </si>
  <si>
    <t>单杆两功能花洒</t>
  </si>
  <si>
    <t>单功能明杆固定花洒</t>
  </si>
  <si>
    <t>AG3106</t>
  </si>
  <si>
    <t>推荐水压:0.15MPa~0.5MPa材质工艺:本体铜质镀铬</t>
  </si>
  <si>
    <t>单功能挂墙花洒套装</t>
  </si>
  <si>
    <t>AG3503U1(-TZ)</t>
  </si>
  <si>
    <t>陶瓷阀芯 表面电镀三层半光镍、全光镍、铬公称通径:15进水口螺纹规格:G1/2</t>
  </si>
  <si>
    <t>两功能花洒挂墙花洒--镀铬</t>
  </si>
  <si>
    <t>AD3618SU1CP</t>
  </si>
  <si>
    <t>两功能花洒挂墙花洒--雅白</t>
  </si>
  <si>
    <t>AD3618SU1MW</t>
  </si>
  <si>
    <t>、雅白色</t>
  </si>
  <si>
    <t>陶瓷阀芯 表面雅白公称通径:15进水口螺纹规格:G1/2</t>
  </si>
  <si>
    <t>两功能花洒挂墙花洒--枪灰</t>
  </si>
  <si>
    <t>AD3618SU1GGW</t>
  </si>
  <si>
    <t>枪灰色</t>
  </si>
  <si>
    <t>陶瓷阀芯 表面太空灰公称通径:15进水口螺纹规格:G1/2</t>
  </si>
  <si>
    <t>两功能明杆升降淋浴花洒</t>
  </si>
  <si>
    <t>AG3206</t>
  </si>
  <si>
    <t>陶瓷阀芯 表面电镀三层酸铜、镍、铬公称通径:15进水口螺纹规格:G1/2</t>
  </si>
  <si>
    <t>AG3207CP-1</t>
  </si>
  <si>
    <t>硅胶手持直径：132
硅胶顶喷直径：255
10 寸顶喷
三功能手持
PVC 花洒链</t>
  </si>
  <si>
    <t>三功能淋浴花洒</t>
  </si>
  <si>
    <t>AG3309CP/AG3309U2CP</t>
  </si>
  <si>
    <t>三功能</t>
  </si>
  <si>
    <t>阀芯材质: 陶瓷阀芯表面电镀 : 半光镍、全光镍、铬
手持直径:110mm顶喷直径:230mm公称通经:15mm
螺纹规格:G1/2</t>
  </si>
  <si>
    <t>AG3307CP-1</t>
  </si>
  <si>
    <t>AG3306</t>
  </si>
  <si>
    <t>AG3306MB</t>
  </si>
  <si>
    <t>陶瓷阀芯 表面雅黑公称通径:15进水口螺纹规格:G1/2</t>
  </si>
  <si>
    <t>淋浴花洒</t>
  </si>
  <si>
    <t>AD3316CP</t>
  </si>
  <si>
    <t>阀芯材质: 陶瓷阀芯表面电镀 : 半光镍、全光镍、铬
公称通经:15mm
螺纹规格: G1/2
手持直径
:111mm
顶喷出水:
顶喷直径:230mm</t>
  </si>
  <si>
    <t>方形淋浴花洒</t>
  </si>
  <si>
    <t xml:space="preserve">  AF33810U2CP</t>
  </si>
  <si>
    <t>手持尺寸：120mm
顶喷尺寸：280*200mm
公称通径：15，进水口螺纹规格：G1/2
材质：主体铜合金
颜色：镀铬</t>
  </si>
  <si>
    <t>AD3312U1CP</t>
  </si>
  <si>
    <t>枪灰色方形淋浴花洒</t>
  </si>
  <si>
    <t>AD3312U1GGSP</t>
  </si>
  <si>
    <t>手持尺寸：120mm
顶喷尺寸：280*200mm
公称通径：15，进水口螺纹规格：G1/2
材质：主体铜合金
颜色：枪灰</t>
  </si>
  <si>
    <t>三功能升降淋浴花洒</t>
  </si>
  <si>
    <t>AG3316CP</t>
  </si>
  <si>
    <t>三功能升降恒温花洒</t>
  </si>
  <si>
    <t>AG3318CP</t>
  </si>
  <si>
    <t>AG3308SH</t>
  </si>
  <si>
    <t>恒温三功能</t>
  </si>
  <si>
    <t>陶瓷阀芯 表面电镀三层半光镍、全光镍、铬大顶喷花酒雨淋式出水公称通径:15mm进水口螺纹规格:G1/2手持直径:108mm顶喷直径:228mm
9 寸顶喷</t>
  </si>
  <si>
    <t>AG3317SHU1CP</t>
  </si>
  <si>
    <t>四功能升降恒温花洒</t>
  </si>
  <si>
    <t>AG3402CP</t>
  </si>
  <si>
    <t>恒温四功能</t>
  </si>
  <si>
    <t>升降杆</t>
  </si>
  <si>
    <t>AG3801CP-TZ</t>
  </si>
  <si>
    <t>尺寸:H600</t>
  </si>
  <si>
    <t>不锈钢镀铬 +ABS</t>
  </si>
  <si>
    <t>AG3803CP</t>
  </si>
  <si>
    <t>感应器</t>
  </si>
  <si>
    <t>蹲便感应器（带手动按键）</t>
  </si>
  <si>
    <t>AGY-206A/B</t>
  </si>
  <si>
    <t>尺寸：L135xW135xH8.5mm</t>
  </si>
  <si>
    <t>暗装蹲便器冲水感应器
备注：A交流，B直流</t>
  </si>
  <si>
    <t>暗装蹲便感应器</t>
  </si>
  <si>
    <t>AG7113AB</t>
  </si>
  <si>
    <t>哑黑色
备注：A交流，B直流</t>
  </si>
  <si>
    <t>面板：AA213-02CP
预埋体：AA213-0SABNO</t>
  </si>
  <si>
    <t>尺 寸：L130xW130xH5mm</t>
  </si>
  <si>
    <t>材 质 ：304不锈钢盖
颜 色 ：镀铬
水效等级：三级水效
手动+自动冲水</t>
  </si>
  <si>
    <t>AA213-04MB
预埋体：AA213-0SABNO</t>
  </si>
  <si>
    <t>尺 寸：180mmx135mmx8mm</t>
  </si>
  <si>
    <t>材 质：亚克力面板
颜 色：黑色
按键尺寸：φ50mm
水效等级：三级水效
手动按键冲水+自动感应冲水</t>
  </si>
  <si>
    <t>面板：AA213-05NO
预埋体：AA213-0SABNO</t>
  </si>
  <si>
    <t>尺寸：180mmx135mmx8mm</t>
  </si>
  <si>
    <t>材 质 :不锈钢面板 表面磨砂
颜 色 ：铬色
按键尺寸：φ50mm
水效等级：三级水效
手动按键冲水+自动感应冲水</t>
  </si>
  <si>
    <t>AGY-100A/B</t>
  </si>
  <si>
    <t>尺寸：62mmx38mmx4mm</t>
  </si>
  <si>
    <t>暗装小便器冲水感应器
备注：A交流，B直流</t>
  </si>
  <si>
    <t>小便感应器</t>
  </si>
  <si>
    <t>AG7107AB</t>
  </si>
  <si>
    <t>尺寸：L135xW135xH8mm</t>
  </si>
  <si>
    <t>小便器感应器
备注：A交流，B直流</t>
  </si>
  <si>
    <t>暗装小便器感应器</t>
  </si>
  <si>
    <t>AGY108-2A/B</t>
  </si>
  <si>
    <t>尺寸：130mmx130mmx25.2mm</t>
  </si>
  <si>
    <t>AGY108-3A/B</t>
  </si>
  <si>
    <t>AG7102A/B</t>
  </si>
  <si>
    <t>Φ45*15</t>
  </si>
  <si>
    <t>AA10100HANO
AA10100HBNO</t>
  </si>
  <si>
    <t>材 质：ABS
颜 色：白色
供电方式：交流/直流
水效等级：二级
适配小便器：AN661、AN650</t>
  </si>
  <si>
    <t>面板AA102-01GG
上进水预埋体
AA102-0SANO
AA102-0SBNO
后进水预埋体
AA102-0HANO
AA102-0HBNO</t>
  </si>
  <si>
    <t>L135xW135xH8.5mm</t>
  </si>
  <si>
    <t>材 质：304不锈钢面板+塑料后盖
颜 色：黑色+枪灰水效等级：二级水效
冲水段数:一段可调二段</t>
  </si>
  <si>
    <t xml:space="preserve">面板AA102-02CP
上进水预埋体
AA102-0SANO
AA102-0SBNO
后进水预埋体
AA102-0HANO
AA102-0HBNO
</t>
  </si>
  <si>
    <t>L130xW130xH5mm</t>
  </si>
  <si>
    <t>材 质 ：304不锈钢面板颜 色 ：铬色
等级：二级水效
冲水段数:一段可调二段</t>
  </si>
  <si>
    <t>面板：AA102-03CP
上进水预埋体：
AA102-0SANO
AA102-0SBNO
后进水预埋体：
AA102-0HANO
AA102-0HBNO</t>
  </si>
  <si>
    <t>小便感应器（带手动按键）</t>
  </si>
  <si>
    <t>面板AA112-02CP
上进水预埋体：
AA112-0SANO
AA112-0SBNO
后进水预埋体：
AA112-0HANO
AA112-0HBNO</t>
  </si>
  <si>
    <t>材 质 ：304不锈钢面板
颜 色 ：铬色
等级：二级水效
冲水段数:一段可调二段
可手动按键冲水</t>
  </si>
  <si>
    <t>拖布池</t>
  </si>
  <si>
    <t>拖把池</t>
  </si>
  <si>
    <t>AM7705（地拖盆）AL7702Z（立柱）/AQS631</t>
  </si>
  <si>
    <t>尺寸：L435×W355×H610</t>
  </si>
  <si>
    <t>AM7702E（地拖盆）AL7702Z（立柱）/AQS631</t>
  </si>
  <si>
    <t>地拖盆
尺寸：L445×W363×H633</t>
  </si>
  <si>
    <t>AM77003W</t>
  </si>
  <si>
    <t>尺寸：L355*W355*H435(mm)
排污方式：底排
颜色：洁白</t>
  </si>
  <si>
    <t>AF4632CP</t>
  </si>
  <si>
    <t>尺寸：106*Φ50*96*G1/2
材质：主体铜合金+ABS把手</t>
  </si>
  <si>
    <t>水槽</t>
  </si>
  <si>
    <t>AG5515</t>
  </si>
  <si>
    <t>厨用单盆水槽
尺寸：L650×W435×H225</t>
  </si>
  <si>
    <t>防堵塞、圆拉丝工
艺、U 型下水管道、
内槽宽深、消音涂层</t>
  </si>
  <si>
    <t>厨用手工单盆水槽</t>
  </si>
  <si>
    <t>AG5523SS</t>
  </si>
  <si>
    <t>厨用手工单盆水槽
尺寸：L680×W450×H200</t>
  </si>
  <si>
    <t>厨用双盆水槽</t>
  </si>
  <si>
    <t>AG5518(单包)</t>
  </si>
  <si>
    <t>厨用双盆水槽
尺寸：L770×W420×H200</t>
  </si>
  <si>
    <t>水槽龙头</t>
  </si>
  <si>
    <t>AG4510M</t>
  </si>
  <si>
    <t>360°旋转
精密拉丝工艺
不粘指纹易清洁
柔和出水</t>
  </si>
  <si>
    <t>抽拉水槽龙头</t>
  </si>
  <si>
    <t>AG4512</t>
  </si>
  <si>
    <t>重力铸造技术
晶镀技术、升级快
装底座</t>
  </si>
  <si>
    <t>地漏</t>
  </si>
  <si>
    <t>AG5103U</t>
  </si>
  <si>
    <t>弹跳式地漏
尺寸：L100×W100，DN50</t>
  </si>
  <si>
    <t>防返溢、超强排水、
防臭防堵塞</t>
  </si>
  <si>
    <t>弹跳式地漏</t>
  </si>
  <si>
    <t>AF51810AMSS</t>
  </si>
  <si>
    <t>尺寸：L100*W100*DN50
材质：304不锈钢
颜色：拉丝
DN50</t>
  </si>
  <si>
    <t>AF51810AMCP</t>
  </si>
  <si>
    <t>尺寸：L100*W100*DN50
材质：304不锈钢
颜色：镀铬
DN50</t>
  </si>
  <si>
    <t>AF51810AMGG</t>
  </si>
  <si>
    <t>尺寸：L100*W100*DN50
材质：304不锈钢
颜色：枪灰
DN50</t>
  </si>
  <si>
    <t>洗衣机地漏</t>
  </si>
  <si>
    <t>AF51810BMSS</t>
  </si>
  <si>
    <t>AF51810BMCP</t>
  </si>
  <si>
    <t>AF51810BMGG</t>
  </si>
  <si>
    <t>浴室柜</t>
  </si>
  <si>
    <t>80公分浴室柜</t>
  </si>
  <si>
    <t>AP3238/ +AUDD8G3238-QF</t>
  </si>
  <si>
    <t>柜盆尺寸：794x495x234mm
主柜尺寸：752x470x500mm
镜柜尺寸：752x140x650mm</t>
  </si>
  <si>
    <t>定制小模块清风系列.多层实木·曙光白-AD021</t>
  </si>
  <si>
    <t>AP3258/ADGMD8G3258-C主柜+AMJD8G3258-C镜柜</t>
  </si>
  <si>
    <t>柜盆尺寸：795x494x210mm主柜尺寸:750×470×480mm
镜柜尺寸:750×140×700mm</t>
  </si>
  <si>
    <t>洛林系列.多层实木·绒面耀目沙-AD019+浅木纹-AD121</t>
  </si>
  <si>
    <t>AP3368/ADGU8G3368-CAMJU8G3368-C镜柜</t>
  </si>
  <si>
    <t>柜盆尺寸:804×506×244mm
主柜尺寸:750×475×480mm
镜柜尺寸:750×140×700mm</t>
  </si>
  <si>
    <t>星越ⅠM80防潮板··16mm浮雕木纹暮色柔金</t>
  </si>
  <si>
    <t>60公分儿童彩色浴室柜</t>
  </si>
  <si>
    <t>APG6L435B挂柜/APG6L435B石英石台面/APG6L435B主柜/APYJ6L435B浴室镜</t>
  </si>
  <si>
    <t>60公分浴室柜</t>
  </si>
  <si>
    <t>PVC主柜(PVC+实木)·亮光土黄色+亮光白+亮光黑
石英石台面.爵士白</t>
  </si>
  <si>
    <t>AP435</t>
  </si>
  <si>
    <t>尺寸：395*395*130</t>
  </si>
  <si>
    <t>挂件</t>
  </si>
  <si>
    <t>浴巾架</t>
  </si>
  <si>
    <t>AG52093PN</t>
  </si>
  <si>
    <t>浴巾架
L627×W225×H108
不锈钢亮光</t>
  </si>
  <si>
    <t>不锈钢亮光</t>
  </si>
  <si>
    <t>单杆毛巾杆</t>
  </si>
  <si>
    <t>AD521901PN</t>
  </si>
  <si>
    <t>L600×W76×H50</t>
  </si>
  <si>
    <t>双杆毛巾杆</t>
  </si>
  <si>
    <t>AD521902PN</t>
  </si>
  <si>
    <t>L600×W115×H50</t>
  </si>
  <si>
    <t>AD521904PN</t>
  </si>
  <si>
    <t>L600×W227×H125</t>
  </si>
  <si>
    <t>AD521907PN</t>
  </si>
  <si>
    <t>L153×W101×H87</t>
  </si>
  <si>
    <t>厕纸架</t>
  </si>
  <si>
    <t>AG52095PN</t>
  </si>
  <si>
    <t>厕纸巾架
L154×W101×H87
不锈钢亮光</t>
  </si>
  <si>
    <t>单层置物架</t>
  </si>
  <si>
    <t>AG52097PN</t>
  </si>
  <si>
    <t>单层三角置物篮
L113×W90×H345
不锈钢亮光</t>
  </si>
  <si>
    <t>AGJ609TZLG</t>
  </si>
  <si>
    <t xml:space="preserve">594*229*170mm
</t>
  </si>
  <si>
    <t>枪灰 / 铝合金</t>
  </si>
  <si>
    <t>毛巾架</t>
  </si>
  <si>
    <t>593*95*60mm
枪灰 / 铝合金</t>
  </si>
  <si>
    <t>马桶刷</t>
  </si>
  <si>
    <t>350*125*115mm
枪灰 / 铝合金</t>
  </si>
  <si>
    <t>160*110*100mm
枪灰色 / 铝合金</t>
  </si>
  <si>
    <t>AD5220TZ-GGA</t>
  </si>
  <si>
    <t>596*223.5*192mm
枪灰色 / 铝合金</t>
  </si>
  <si>
    <t>595*106.4*90mm
枪灰色 / 铝合金</t>
  </si>
  <si>
    <t>角蓝</t>
  </si>
  <si>
    <t>286.2*217*47mm
枪灰色 / 铝合金</t>
  </si>
  <si>
    <t>205*131*132mm
枪灰色 / 铝合金</t>
  </si>
  <si>
    <t>AD5220TZ-SF</t>
  </si>
  <si>
    <t>596*223.5*192mm
雪花银/ 铝合金</t>
  </si>
  <si>
    <t>雪花银/ 铝合金</t>
  </si>
  <si>
    <t>595*106.4*90mm
雪花银 / 铝合金</t>
  </si>
  <si>
    <t>角篮</t>
  </si>
  <si>
    <t>286.2*217*47mm
雪花银 / 铝合金</t>
  </si>
  <si>
    <t>205*131*132mm
雪花银 / 铝合金</t>
  </si>
  <si>
    <t>挂衣钩</t>
  </si>
  <si>
    <t>AG520409PN</t>
  </si>
  <si>
    <t>挂衣钩
L53×W53×H60
不锈钢亮光</t>
  </si>
  <si>
    <t>AG52098PN</t>
  </si>
  <si>
    <t>挂衣钩
L53×W55×H56
不锈钢亮光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</si>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</sst>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color theme="1"/>
      <name val="黑体"/>
      <charset val="134"/>
    </font>
    <font>
      <b/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</font>
    <font>
      <sz val="10"/>
      <color rgb="FF333333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6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/>
  </cellStyleXfs>
  <cellXfs count="32">
    <xf numFmtId="0" fontId="0" fillId="0" borderId="0" xfId="0"/>
    <xf numFmtId="0" fontId="0" fillId="0" borderId="0" xfId="0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176" fontId="0" fillId="0" borderId="0" xfId="0" applyNumberFormat="1" applyFill="1" applyBorder="1" applyAlignment="1">
      <alignment horizontal="center" vertical="center" wrapText="1"/>
    </xf>
    <xf numFmtId="176" fontId="0" fillId="0" borderId="0" xfId="0" applyNumberForma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0" fillId="0" borderId="4" xfId="0" applyNumberFormat="1" applyFill="1" applyBorder="1" applyAlignment="1">
      <alignment horizontal="center" vertical="center" wrapText="1"/>
    </xf>
    <xf numFmtId="176" fontId="0" fillId="0" borderId="5" xfId="0" applyNumberFormat="1" applyFill="1" applyBorder="1" applyAlignment="1">
      <alignment horizontal="center" vertical="center" wrapText="1"/>
    </xf>
    <xf numFmtId="176" fontId="0" fillId="0" borderId="6" xfId="0" applyNumberFormat="1" applyFill="1" applyBorder="1" applyAlignment="1" applyProtection="1">
      <alignment horizontal="center" vertical="center" wrapText="1"/>
      <protection locked="0"/>
    </xf>
    <xf numFmtId="176" fontId="10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98.png"/><Relationship Id="rId98" Type="http://schemas.openxmlformats.org/officeDocument/2006/relationships/image" Target="media/image97.png"/><Relationship Id="rId97" Type="http://schemas.openxmlformats.org/officeDocument/2006/relationships/image" Target="media/image96.png"/><Relationship Id="rId96" Type="http://schemas.openxmlformats.org/officeDocument/2006/relationships/image" Target="media/image95.png"/><Relationship Id="rId95" Type="http://schemas.openxmlformats.org/officeDocument/2006/relationships/image" Target="media/image94.jpeg"/><Relationship Id="rId94" Type="http://schemas.openxmlformats.org/officeDocument/2006/relationships/image" Target="media/image93.jpeg"/><Relationship Id="rId93" Type="http://schemas.openxmlformats.org/officeDocument/2006/relationships/image" Target="media/image92.png"/><Relationship Id="rId92" Type="http://schemas.openxmlformats.org/officeDocument/2006/relationships/image" Target="media/image91.png"/><Relationship Id="rId91" Type="http://schemas.openxmlformats.org/officeDocument/2006/relationships/image" Target="media/image90.png"/><Relationship Id="rId90" Type="http://schemas.openxmlformats.org/officeDocument/2006/relationships/image" Target="media/image89.png"/><Relationship Id="rId9" Type="http://schemas.openxmlformats.org/officeDocument/2006/relationships/image" Target="media/image8.png"/><Relationship Id="rId89" Type="http://schemas.openxmlformats.org/officeDocument/2006/relationships/image" Target="media/image88.png"/><Relationship Id="rId88" Type="http://schemas.openxmlformats.org/officeDocument/2006/relationships/image" Target="media/image87.png"/><Relationship Id="rId87" Type="http://schemas.openxmlformats.org/officeDocument/2006/relationships/image" Target="media/image86.jpeg"/><Relationship Id="rId86" Type="http://schemas.openxmlformats.org/officeDocument/2006/relationships/image" Target="media/image85.jpeg"/><Relationship Id="rId85" Type="http://schemas.openxmlformats.org/officeDocument/2006/relationships/image" Target="media/image84.jpeg"/><Relationship Id="rId84" Type="http://schemas.openxmlformats.org/officeDocument/2006/relationships/image" Target="media/image83.jpeg"/><Relationship Id="rId83" Type="http://schemas.openxmlformats.org/officeDocument/2006/relationships/image" Target="media/image82.jpeg"/><Relationship Id="rId82" Type="http://schemas.openxmlformats.org/officeDocument/2006/relationships/image" Target="media/image81.png"/><Relationship Id="rId81" Type="http://schemas.openxmlformats.org/officeDocument/2006/relationships/image" Target="media/image80.png"/><Relationship Id="rId80" Type="http://schemas.openxmlformats.org/officeDocument/2006/relationships/image" Target="media/image79.jpeg"/><Relationship Id="rId8" Type="http://schemas.openxmlformats.org/officeDocument/2006/relationships/image" Target="media/image7.jpeg"/><Relationship Id="rId79" Type="http://schemas.openxmlformats.org/officeDocument/2006/relationships/image" Target="media/image78.jpeg"/><Relationship Id="rId78" Type="http://schemas.openxmlformats.org/officeDocument/2006/relationships/image" Target="media/image77.jpeg"/><Relationship Id="rId77" Type="http://schemas.openxmlformats.org/officeDocument/2006/relationships/image" Target="media/image76.jpeg"/><Relationship Id="rId76" Type="http://schemas.openxmlformats.org/officeDocument/2006/relationships/image" Target="media/image75.jpeg"/><Relationship Id="rId75" Type="http://schemas.openxmlformats.org/officeDocument/2006/relationships/image" Target="media/image74.jpeg"/><Relationship Id="rId74" Type="http://schemas.openxmlformats.org/officeDocument/2006/relationships/image" Target="media/image73.jpeg"/><Relationship Id="rId73" Type="http://schemas.openxmlformats.org/officeDocument/2006/relationships/image" Target="media/image72.png"/><Relationship Id="rId72" Type="http://schemas.openxmlformats.org/officeDocument/2006/relationships/image" Target="media/image71.png"/><Relationship Id="rId71" Type="http://schemas.openxmlformats.org/officeDocument/2006/relationships/image" Target="media/image70.png"/><Relationship Id="rId70" Type="http://schemas.openxmlformats.org/officeDocument/2006/relationships/image" Target="media/image69.png"/><Relationship Id="rId7" Type="http://schemas.openxmlformats.org/officeDocument/2006/relationships/image" Target="media/image6.png"/><Relationship Id="rId69" Type="http://schemas.openxmlformats.org/officeDocument/2006/relationships/image" Target="media/image68.png"/><Relationship Id="rId68" Type="http://schemas.openxmlformats.org/officeDocument/2006/relationships/image" Target="media/image67.png"/><Relationship Id="rId67" Type="http://schemas.openxmlformats.org/officeDocument/2006/relationships/image" Target="media/image66.png"/><Relationship Id="rId66" Type="http://schemas.openxmlformats.org/officeDocument/2006/relationships/image" Target="media/image65.jpeg"/><Relationship Id="rId65" Type="http://schemas.openxmlformats.org/officeDocument/2006/relationships/image" Target="media/image64.jpeg"/><Relationship Id="rId64" Type="http://schemas.openxmlformats.org/officeDocument/2006/relationships/image" Target="media/image63.jpeg"/><Relationship Id="rId63" Type="http://schemas.openxmlformats.org/officeDocument/2006/relationships/image" Target="media/image62.jpeg"/><Relationship Id="rId62" Type="http://schemas.openxmlformats.org/officeDocument/2006/relationships/image" Target="media/image61.jpeg"/><Relationship Id="rId61" Type="http://schemas.openxmlformats.org/officeDocument/2006/relationships/image" Target="media/image60.jpeg"/><Relationship Id="rId60" Type="http://schemas.openxmlformats.org/officeDocument/2006/relationships/image" Target="media/image59.png"/><Relationship Id="rId6" Type="http://schemas.openxmlformats.org/officeDocument/2006/relationships/image" Target="media/image5.jpeg"/><Relationship Id="rId59" Type="http://schemas.openxmlformats.org/officeDocument/2006/relationships/image" Target="media/image58.jpeg"/><Relationship Id="rId58" Type="http://schemas.openxmlformats.org/officeDocument/2006/relationships/image" Target="media/image57.png"/><Relationship Id="rId57" Type="http://schemas.openxmlformats.org/officeDocument/2006/relationships/image" Target="media/image56.jpeg"/><Relationship Id="rId56" Type="http://schemas.openxmlformats.org/officeDocument/2006/relationships/image" Target="media/image55.jpeg"/><Relationship Id="rId55" Type="http://schemas.openxmlformats.org/officeDocument/2006/relationships/image" Target="media/image54.jpeg"/><Relationship Id="rId54" Type="http://schemas.openxmlformats.org/officeDocument/2006/relationships/image" Target="media/image53.jpeg"/><Relationship Id="rId53" Type="http://schemas.openxmlformats.org/officeDocument/2006/relationships/image" Target="media/image52.jpeg"/><Relationship Id="rId52" Type="http://schemas.openxmlformats.org/officeDocument/2006/relationships/image" Target="media/image51.jpeg"/><Relationship Id="rId51" Type="http://schemas.openxmlformats.org/officeDocument/2006/relationships/image" Target="media/image50.png"/><Relationship Id="rId50" Type="http://schemas.openxmlformats.org/officeDocument/2006/relationships/image" Target="media/image49.jpeg"/><Relationship Id="rId5" Type="http://schemas.openxmlformats.org/officeDocument/2006/relationships/image" Target="media/image4.jpeg"/><Relationship Id="rId49" Type="http://schemas.openxmlformats.org/officeDocument/2006/relationships/image" Target="media/image48.jpeg"/><Relationship Id="rId48" Type="http://schemas.openxmlformats.org/officeDocument/2006/relationships/image" Target="media/image47.jpeg"/><Relationship Id="rId47" Type="http://schemas.openxmlformats.org/officeDocument/2006/relationships/image" Target="media/image46.jpeg"/><Relationship Id="rId46" Type="http://schemas.openxmlformats.org/officeDocument/2006/relationships/image" Target="media/image45.png"/><Relationship Id="rId45" Type="http://schemas.openxmlformats.org/officeDocument/2006/relationships/image" Target="media/image44.png"/><Relationship Id="rId44" Type="http://schemas.openxmlformats.org/officeDocument/2006/relationships/image" Target="media/image43.jpeg"/><Relationship Id="rId43" Type="http://schemas.openxmlformats.org/officeDocument/2006/relationships/image" Target="media/image42.jpeg"/><Relationship Id="rId42" Type="http://schemas.openxmlformats.org/officeDocument/2006/relationships/image" Target="media/image41.jpeg"/><Relationship Id="rId41" Type="http://schemas.openxmlformats.org/officeDocument/2006/relationships/image" Target="media/image40.jpeg"/><Relationship Id="rId40" Type="http://schemas.openxmlformats.org/officeDocument/2006/relationships/image" Target="media/image39.jpeg"/><Relationship Id="rId4" Type="http://schemas.openxmlformats.org/officeDocument/2006/relationships/image" Target="NULL" TargetMode="External"/><Relationship Id="rId39" Type="http://schemas.openxmlformats.org/officeDocument/2006/relationships/image" Target="media/image38.jpeg"/><Relationship Id="rId38" Type="http://schemas.openxmlformats.org/officeDocument/2006/relationships/image" Target="media/image37.jpeg"/><Relationship Id="rId37" Type="http://schemas.openxmlformats.org/officeDocument/2006/relationships/image" Target="media/image36.jpeg"/><Relationship Id="rId36" Type="http://schemas.openxmlformats.org/officeDocument/2006/relationships/image" Target="media/image35.jpeg"/><Relationship Id="rId35" Type="http://schemas.openxmlformats.org/officeDocument/2006/relationships/image" Target="media/image34.jpeg"/><Relationship Id="rId34" Type="http://schemas.openxmlformats.org/officeDocument/2006/relationships/image" Target="media/image33.png"/><Relationship Id="rId33" Type="http://schemas.openxmlformats.org/officeDocument/2006/relationships/image" Target="media/image32.jpeg"/><Relationship Id="rId32" Type="http://schemas.openxmlformats.org/officeDocument/2006/relationships/image" Target="media/image31.jpeg"/><Relationship Id="rId31" Type="http://schemas.openxmlformats.org/officeDocument/2006/relationships/image" Target="media/image30.jpeg"/><Relationship Id="rId30" Type="http://schemas.openxmlformats.org/officeDocument/2006/relationships/image" Target="media/image29.png"/><Relationship Id="rId3" Type="http://schemas.openxmlformats.org/officeDocument/2006/relationships/image" Target="media/image3.jpe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8" Type="http://schemas.openxmlformats.org/officeDocument/2006/relationships/image" Target="media/image207.png"/><Relationship Id="rId207" Type="http://schemas.openxmlformats.org/officeDocument/2006/relationships/image" Target="media/image206.png"/><Relationship Id="rId206" Type="http://schemas.openxmlformats.org/officeDocument/2006/relationships/image" Target="media/image205.png"/><Relationship Id="rId205" Type="http://schemas.openxmlformats.org/officeDocument/2006/relationships/image" Target="media/image204.png"/><Relationship Id="rId204" Type="http://schemas.openxmlformats.org/officeDocument/2006/relationships/image" Target="media/image203.png"/><Relationship Id="rId203" Type="http://schemas.openxmlformats.org/officeDocument/2006/relationships/image" Target="media/image202.png"/><Relationship Id="rId202" Type="http://schemas.openxmlformats.org/officeDocument/2006/relationships/image" Target="media/image201.png"/><Relationship Id="rId201" Type="http://schemas.openxmlformats.org/officeDocument/2006/relationships/image" Target="media/image200.png"/><Relationship Id="rId200" Type="http://schemas.openxmlformats.org/officeDocument/2006/relationships/image" Target="media/image199.png"/><Relationship Id="rId20" Type="http://schemas.openxmlformats.org/officeDocument/2006/relationships/image" Target="media/image19.jpeg"/><Relationship Id="rId2" Type="http://schemas.openxmlformats.org/officeDocument/2006/relationships/image" Target="media/image2.png"/><Relationship Id="rId199" Type="http://schemas.openxmlformats.org/officeDocument/2006/relationships/image" Target="media/image198.png"/><Relationship Id="rId198" Type="http://schemas.openxmlformats.org/officeDocument/2006/relationships/image" Target="media/image197.jpeg"/><Relationship Id="rId197" Type="http://schemas.openxmlformats.org/officeDocument/2006/relationships/image" Target="media/image196.jpeg"/><Relationship Id="rId196" Type="http://schemas.openxmlformats.org/officeDocument/2006/relationships/image" Target="media/image195.jpeg"/><Relationship Id="rId195" Type="http://schemas.openxmlformats.org/officeDocument/2006/relationships/image" Target="media/image194.jpeg"/><Relationship Id="rId194" Type="http://schemas.openxmlformats.org/officeDocument/2006/relationships/image" Target="media/image193.jpeg"/><Relationship Id="rId193" Type="http://schemas.openxmlformats.org/officeDocument/2006/relationships/image" Target="media/image192.jpeg"/><Relationship Id="rId192" Type="http://schemas.openxmlformats.org/officeDocument/2006/relationships/image" Target="media/image191.jpeg"/><Relationship Id="rId191" Type="http://schemas.openxmlformats.org/officeDocument/2006/relationships/image" Target="media/image190.png"/><Relationship Id="rId190" Type="http://schemas.openxmlformats.org/officeDocument/2006/relationships/image" Target="media/image189.png"/><Relationship Id="rId19" Type="http://schemas.openxmlformats.org/officeDocument/2006/relationships/image" Target="media/image18.png"/><Relationship Id="rId189" Type="http://schemas.openxmlformats.org/officeDocument/2006/relationships/image" Target="media/image188.png"/><Relationship Id="rId188" Type="http://schemas.openxmlformats.org/officeDocument/2006/relationships/image" Target="media/image187.png"/><Relationship Id="rId187" Type="http://schemas.openxmlformats.org/officeDocument/2006/relationships/image" Target="media/image186.png"/><Relationship Id="rId186" Type="http://schemas.openxmlformats.org/officeDocument/2006/relationships/image" Target="media/image185.png"/><Relationship Id="rId185" Type="http://schemas.openxmlformats.org/officeDocument/2006/relationships/image" Target="media/image184.png"/><Relationship Id="rId184" Type="http://schemas.openxmlformats.org/officeDocument/2006/relationships/image" Target="media/image183.png"/><Relationship Id="rId183" Type="http://schemas.openxmlformats.org/officeDocument/2006/relationships/image" Target="media/image182.png"/><Relationship Id="rId182" Type="http://schemas.openxmlformats.org/officeDocument/2006/relationships/image" Target="media/image181.png"/><Relationship Id="rId181" Type="http://schemas.openxmlformats.org/officeDocument/2006/relationships/image" Target="media/image180.png"/><Relationship Id="rId180" Type="http://schemas.openxmlformats.org/officeDocument/2006/relationships/image" Target="media/image179.png"/><Relationship Id="rId18" Type="http://schemas.openxmlformats.org/officeDocument/2006/relationships/image" Target="media/image17.png"/><Relationship Id="rId179" Type="http://schemas.openxmlformats.org/officeDocument/2006/relationships/image" Target="media/image178.jpeg"/><Relationship Id="rId178" Type="http://schemas.openxmlformats.org/officeDocument/2006/relationships/image" Target="media/image177.jpeg"/><Relationship Id="rId177" Type="http://schemas.openxmlformats.org/officeDocument/2006/relationships/image" Target="media/image176.jpeg"/><Relationship Id="rId176" Type="http://schemas.openxmlformats.org/officeDocument/2006/relationships/image" Target="media/image175.jpeg"/><Relationship Id="rId175" Type="http://schemas.openxmlformats.org/officeDocument/2006/relationships/image" Target="media/image174.jpeg"/><Relationship Id="rId174" Type="http://schemas.openxmlformats.org/officeDocument/2006/relationships/image" Target="media/image173.jpeg"/><Relationship Id="rId173" Type="http://schemas.openxmlformats.org/officeDocument/2006/relationships/image" Target="media/image172.jpeg"/><Relationship Id="rId172" Type="http://schemas.openxmlformats.org/officeDocument/2006/relationships/image" Target="media/image171.png"/><Relationship Id="rId171" Type="http://schemas.openxmlformats.org/officeDocument/2006/relationships/image" Target="media/image170.png"/><Relationship Id="rId170" Type="http://schemas.openxmlformats.org/officeDocument/2006/relationships/image" Target="media/image169.png"/><Relationship Id="rId17" Type="http://schemas.openxmlformats.org/officeDocument/2006/relationships/image" Target="media/image16.png"/><Relationship Id="rId169" Type="http://schemas.openxmlformats.org/officeDocument/2006/relationships/image" Target="media/image168.png"/><Relationship Id="rId168" Type="http://schemas.openxmlformats.org/officeDocument/2006/relationships/image" Target="media/image167.png"/><Relationship Id="rId167" Type="http://schemas.openxmlformats.org/officeDocument/2006/relationships/image" Target="media/image166.jpeg"/><Relationship Id="rId166" Type="http://schemas.openxmlformats.org/officeDocument/2006/relationships/image" Target="media/image165.jpeg"/><Relationship Id="rId165" Type="http://schemas.openxmlformats.org/officeDocument/2006/relationships/image" Target="media/image164.jpeg"/><Relationship Id="rId164" Type="http://schemas.openxmlformats.org/officeDocument/2006/relationships/image" Target="media/image163.jpeg"/><Relationship Id="rId163" Type="http://schemas.openxmlformats.org/officeDocument/2006/relationships/image" Target="media/image162.png"/><Relationship Id="rId162" Type="http://schemas.openxmlformats.org/officeDocument/2006/relationships/image" Target="media/image161.jpeg"/><Relationship Id="rId161" Type="http://schemas.openxmlformats.org/officeDocument/2006/relationships/image" Target="media/image160.jpeg"/><Relationship Id="rId160" Type="http://schemas.openxmlformats.org/officeDocument/2006/relationships/image" Target="media/image159.png"/><Relationship Id="rId16" Type="http://schemas.openxmlformats.org/officeDocument/2006/relationships/image" Target="media/image15.png"/><Relationship Id="rId159" Type="http://schemas.openxmlformats.org/officeDocument/2006/relationships/image" Target="media/image158.png"/><Relationship Id="rId158" Type="http://schemas.openxmlformats.org/officeDocument/2006/relationships/image" Target="media/image157.jpeg"/><Relationship Id="rId157" Type="http://schemas.openxmlformats.org/officeDocument/2006/relationships/image" Target="media/image156.jpeg"/><Relationship Id="rId156" Type="http://schemas.openxmlformats.org/officeDocument/2006/relationships/image" Target="media/image155.jpeg"/><Relationship Id="rId155" Type="http://schemas.openxmlformats.org/officeDocument/2006/relationships/image" Target="media/image154.png"/><Relationship Id="rId154" Type="http://schemas.openxmlformats.org/officeDocument/2006/relationships/image" Target="media/image153.jpeg"/><Relationship Id="rId153" Type="http://schemas.openxmlformats.org/officeDocument/2006/relationships/image" Target="media/image152.png"/><Relationship Id="rId152" Type="http://schemas.openxmlformats.org/officeDocument/2006/relationships/image" Target="media/image151.png"/><Relationship Id="rId151" Type="http://schemas.openxmlformats.org/officeDocument/2006/relationships/image" Target="media/image150.png"/><Relationship Id="rId150" Type="http://schemas.openxmlformats.org/officeDocument/2006/relationships/image" Target="media/image149.png"/><Relationship Id="rId15" Type="http://schemas.openxmlformats.org/officeDocument/2006/relationships/image" Target="media/image14.jpeg"/><Relationship Id="rId149" Type="http://schemas.openxmlformats.org/officeDocument/2006/relationships/image" Target="media/image148.png"/><Relationship Id="rId148" Type="http://schemas.openxmlformats.org/officeDocument/2006/relationships/image" Target="media/image147.jpeg"/><Relationship Id="rId147" Type="http://schemas.openxmlformats.org/officeDocument/2006/relationships/image" Target="media/image146.jpeg"/><Relationship Id="rId146" Type="http://schemas.openxmlformats.org/officeDocument/2006/relationships/image" Target="media/image145.jpeg"/><Relationship Id="rId145" Type="http://schemas.openxmlformats.org/officeDocument/2006/relationships/image" Target="media/image144.jpeg"/><Relationship Id="rId144" Type="http://schemas.openxmlformats.org/officeDocument/2006/relationships/image" Target="media/image143.png"/><Relationship Id="rId143" Type="http://schemas.openxmlformats.org/officeDocument/2006/relationships/image" Target="media/image142.png"/><Relationship Id="rId142" Type="http://schemas.openxmlformats.org/officeDocument/2006/relationships/image" Target="media/image141.png"/><Relationship Id="rId141" Type="http://schemas.openxmlformats.org/officeDocument/2006/relationships/image" Target="media/image140.jpeg"/><Relationship Id="rId140" Type="http://schemas.openxmlformats.org/officeDocument/2006/relationships/image" Target="media/image139.jpeg"/><Relationship Id="rId14" Type="http://schemas.openxmlformats.org/officeDocument/2006/relationships/image" Target="media/image13.jpeg"/><Relationship Id="rId139" Type="http://schemas.openxmlformats.org/officeDocument/2006/relationships/image" Target="media/image138.png"/><Relationship Id="rId138" Type="http://schemas.openxmlformats.org/officeDocument/2006/relationships/image" Target="media/image137.png"/><Relationship Id="rId137" Type="http://schemas.openxmlformats.org/officeDocument/2006/relationships/image" Target="media/image136.png"/><Relationship Id="rId136" Type="http://schemas.openxmlformats.org/officeDocument/2006/relationships/image" Target="media/image135.png"/><Relationship Id="rId135" Type="http://schemas.openxmlformats.org/officeDocument/2006/relationships/image" Target="media/image134.png"/><Relationship Id="rId134" Type="http://schemas.openxmlformats.org/officeDocument/2006/relationships/image" Target="media/image133.png"/><Relationship Id="rId133" Type="http://schemas.openxmlformats.org/officeDocument/2006/relationships/image" Target="media/image132.jpeg"/><Relationship Id="rId132" Type="http://schemas.openxmlformats.org/officeDocument/2006/relationships/image" Target="media/image131.jpeg"/><Relationship Id="rId131" Type="http://schemas.openxmlformats.org/officeDocument/2006/relationships/image" Target="media/image130.jpeg"/><Relationship Id="rId130" Type="http://schemas.openxmlformats.org/officeDocument/2006/relationships/image" Target="media/image129.jpeg"/><Relationship Id="rId13" Type="http://schemas.openxmlformats.org/officeDocument/2006/relationships/image" Target="media/image12.png"/><Relationship Id="rId129" Type="http://schemas.openxmlformats.org/officeDocument/2006/relationships/image" Target="media/image128.png"/><Relationship Id="rId128" Type="http://schemas.openxmlformats.org/officeDocument/2006/relationships/image" Target="media/image127.png"/><Relationship Id="rId127" Type="http://schemas.openxmlformats.org/officeDocument/2006/relationships/image" Target="media/image126.png"/><Relationship Id="rId126" Type="http://schemas.openxmlformats.org/officeDocument/2006/relationships/image" Target="media/image125.png"/><Relationship Id="rId125" Type="http://schemas.openxmlformats.org/officeDocument/2006/relationships/image" Target="media/image124.jpeg"/><Relationship Id="rId124" Type="http://schemas.openxmlformats.org/officeDocument/2006/relationships/image" Target="media/image123.jpeg"/><Relationship Id="rId123" Type="http://schemas.openxmlformats.org/officeDocument/2006/relationships/image" Target="media/image122.jpeg"/><Relationship Id="rId122" Type="http://schemas.openxmlformats.org/officeDocument/2006/relationships/image" Target="media/image121.jpeg"/><Relationship Id="rId121" Type="http://schemas.openxmlformats.org/officeDocument/2006/relationships/image" Target="media/image120.jpeg"/><Relationship Id="rId120" Type="http://schemas.openxmlformats.org/officeDocument/2006/relationships/image" Target="media/image119.jpeg"/><Relationship Id="rId12" Type="http://schemas.openxmlformats.org/officeDocument/2006/relationships/image" Target="media/image11.jpeg"/><Relationship Id="rId119" Type="http://schemas.openxmlformats.org/officeDocument/2006/relationships/image" Target="media/image118.jpeg"/><Relationship Id="rId118" Type="http://schemas.openxmlformats.org/officeDocument/2006/relationships/image" Target="media/image117.jpeg"/><Relationship Id="rId117" Type="http://schemas.openxmlformats.org/officeDocument/2006/relationships/image" Target="media/image116.jpeg"/><Relationship Id="rId116" Type="http://schemas.openxmlformats.org/officeDocument/2006/relationships/image" Target="media/image115.jpeg"/><Relationship Id="rId115" Type="http://schemas.openxmlformats.org/officeDocument/2006/relationships/image" Target="media/image114.jpeg"/><Relationship Id="rId114" Type="http://schemas.openxmlformats.org/officeDocument/2006/relationships/image" Target="media/image113.png"/><Relationship Id="rId113" Type="http://schemas.openxmlformats.org/officeDocument/2006/relationships/image" Target="media/image112.png"/><Relationship Id="rId112" Type="http://schemas.openxmlformats.org/officeDocument/2006/relationships/image" Target="media/image111.png"/><Relationship Id="rId111" Type="http://schemas.openxmlformats.org/officeDocument/2006/relationships/image" Target="media/image110.jpeg"/><Relationship Id="rId110" Type="http://schemas.openxmlformats.org/officeDocument/2006/relationships/image" Target="media/image109.jpeg"/><Relationship Id="rId11" Type="http://schemas.openxmlformats.org/officeDocument/2006/relationships/image" Target="media/image10.png"/><Relationship Id="rId109" Type="http://schemas.openxmlformats.org/officeDocument/2006/relationships/image" Target="media/image108.jpeg"/><Relationship Id="rId108" Type="http://schemas.openxmlformats.org/officeDocument/2006/relationships/image" Target="media/image107.jpeg"/><Relationship Id="rId107" Type="http://schemas.openxmlformats.org/officeDocument/2006/relationships/image" Target="media/image106.jpeg"/><Relationship Id="rId106" Type="http://schemas.openxmlformats.org/officeDocument/2006/relationships/image" Target="media/image105.jpeg"/><Relationship Id="rId105" Type="http://schemas.openxmlformats.org/officeDocument/2006/relationships/image" Target="media/image104.jpeg"/><Relationship Id="rId104" Type="http://schemas.openxmlformats.org/officeDocument/2006/relationships/image" Target="media/image103.jpeg"/><Relationship Id="rId103" Type="http://schemas.openxmlformats.org/officeDocument/2006/relationships/image" Target="media/image102.jpeg"/><Relationship Id="rId102" Type="http://schemas.openxmlformats.org/officeDocument/2006/relationships/image" Target="media/image101.jpeg"/><Relationship Id="rId101" Type="http://schemas.openxmlformats.org/officeDocument/2006/relationships/image" Target="media/image100.png"/><Relationship Id="rId100" Type="http://schemas.openxmlformats.org/officeDocument/2006/relationships/image" Target="media/image99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39"/>
  <sheetViews>
    <sheetView tabSelected="1" view="pageBreakPreview" zoomScaleNormal="70" workbookViewId="0">
      <pane ySplit="3" topLeftCell="A226" activePane="bottomLeft" state="frozen"/>
      <selection/>
      <selection pane="bottomLeft" activeCell="M240" sqref="M240"/>
    </sheetView>
  </sheetViews>
  <sheetFormatPr defaultColWidth="9" defaultRowHeight="13.5"/>
  <cols>
    <col min="1" max="1" width="7.49166666666667" style="1" customWidth="1"/>
    <col min="2" max="2" width="11.125" style="1" customWidth="1"/>
    <col min="3" max="3" width="11.2416666666667" style="1" customWidth="1"/>
    <col min="4" max="4" width="13.5" style="1" customWidth="1"/>
    <col min="5" max="5" width="18.9666666666667" style="1" customWidth="1"/>
    <col min="6" max="6" width="12.5" style="1" customWidth="1"/>
    <col min="7" max="7" width="21.25" style="1" customWidth="1"/>
    <col min="8" max="8" width="18.875" style="5" customWidth="1"/>
    <col min="9" max="9" width="22.5" style="5" customWidth="1"/>
    <col min="10" max="10" width="10" style="1" customWidth="1"/>
    <col min="11" max="11" width="9.375" style="1" customWidth="1"/>
    <col min="12" max="12" width="12.4416666666667" style="6" customWidth="1"/>
    <col min="13" max="13" width="12.4416666666667" style="7" customWidth="1"/>
    <col min="14" max="14" width="14.5583333333333" style="7" customWidth="1"/>
    <col min="15" max="16384" width="9" style="1"/>
  </cols>
  <sheetData>
    <row r="1" s="1" customFormat="1" ht="44" customHeight="1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14"/>
      <c r="M1" s="15"/>
      <c r="N1" s="15"/>
    </row>
    <row r="2" s="2" customFormat="1" ht="44" customHeight="1" spans="1:14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16" t="s">
        <v>11</v>
      </c>
      <c r="L2" s="17" t="s">
        <v>12</v>
      </c>
      <c r="M2" s="18" t="s">
        <v>13</v>
      </c>
      <c r="N2" s="18" t="s">
        <v>14</v>
      </c>
    </row>
    <row r="3" s="3" customFormat="1" ht="44" customHeight="1" spans="1:14">
      <c r="A3" s="9"/>
      <c r="B3" s="9"/>
      <c r="C3" s="9"/>
      <c r="D3" s="9"/>
      <c r="E3" s="9"/>
      <c r="F3" s="9"/>
      <c r="G3" s="9"/>
      <c r="H3" s="9"/>
      <c r="I3" s="9"/>
      <c r="J3" s="9"/>
      <c r="K3" s="19"/>
      <c r="L3" s="17"/>
      <c r="M3" s="18"/>
      <c r="N3" s="18"/>
    </row>
    <row r="4" s="4" customFormat="1" ht="100" customHeight="1" spans="1:14">
      <c r="A4" s="10">
        <v>1</v>
      </c>
      <c r="B4" s="10" t="s">
        <v>15</v>
      </c>
      <c r="C4" s="10" t="s">
        <v>16</v>
      </c>
      <c r="D4" s="10" t="s">
        <v>17</v>
      </c>
      <c r="E4" s="10" t="s">
        <v>18</v>
      </c>
      <c r="F4" s="11" t="s">
        <v>19</v>
      </c>
      <c r="G4" s="12" t="str">
        <f>_xlfn.DISPIMG("ID_B16657E8ECA34D2389840DBA1AAFF0E0",1)</f>
        <v>=DISPIMG("ID_B16657E8ECA34D2389840DBA1AAFF0E0",1)</v>
      </c>
      <c r="H4" s="10" t="s">
        <v>20</v>
      </c>
      <c r="I4" s="10" t="s">
        <v>21</v>
      </c>
      <c r="J4" s="10" t="s">
        <v>22</v>
      </c>
      <c r="K4" s="10">
        <v>60</v>
      </c>
      <c r="L4" s="20">
        <v>3776</v>
      </c>
      <c r="M4" s="21"/>
      <c r="N4" s="21">
        <f>K4*M4</f>
        <v>0</v>
      </c>
    </row>
    <row r="5" s="4" customFormat="1" ht="100" customHeight="1" spans="1:14">
      <c r="A5" s="10">
        <v>2</v>
      </c>
      <c r="B5" s="10" t="s">
        <v>15</v>
      </c>
      <c r="C5" s="10" t="s">
        <v>16</v>
      </c>
      <c r="D5" s="10" t="s">
        <v>17</v>
      </c>
      <c r="E5" s="10" t="s">
        <v>23</v>
      </c>
      <c r="F5" s="11" t="s">
        <v>19</v>
      </c>
      <c r="G5" s="12" t="str">
        <f>_xlfn.DISPIMG("ID_A8249A5C5AB84AD0A9806EC7B5FA05FC",1)</f>
        <v>=DISPIMG("ID_A8249A5C5AB84AD0A9806EC7B5FA05FC",1)</v>
      </c>
      <c r="H5" s="10" t="s">
        <v>24</v>
      </c>
      <c r="I5" s="10" t="s">
        <v>25</v>
      </c>
      <c r="J5" s="10" t="s">
        <v>22</v>
      </c>
      <c r="K5" s="10">
        <v>60</v>
      </c>
      <c r="L5" s="20">
        <v>2695</v>
      </c>
      <c r="M5" s="21"/>
      <c r="N5" s="21">
        <f t="shared" ref="N5:N68" si="0">K5*M5</f>
        <v>0</v>
      </c>
    </row>
    <row r="6" s="4" customFormat="1" ht="100" customHeight="1" spans="1:14">
      <c r="A6" s="10">
        <v>3</v>
      </c>
      <c r="B6" s="10" t="s">
        <v>15</v>
      </c>
      <c r="C6" s="10" t="s">
        <v>16</v>
      </c>
      <c r="D6" s="10" t="s">
        <v>17</v>
      </c>
      <c r="E6" s="11" t="s">
        <v>26</v>
      </c>
      <c r="F6" s="11" t="s">
        <v>19</v>
      </c>
      <c r="G6" s="11" t="str">
        <f>_xlfn.DISPIMG("ID_ADF56C3FC44B4E61AF72ECEC484BFE6D",1)</f>
        <v>=DISPIMG("ID_ADF56C3FC44B4E61AF72ECEC484BFE6D",1)</v>
      </c>
      <c r="H6" s="10" t="s">
        <v>27</v>
      </c>
      <c r="I6" s="10" t="s">
        <v>28</v>
      </c>
      <c r="J6" s="10" t="s">
        <v>22</v>
      </c>
      <c r="K6" s="10">
        <v>60</v>
      </c>
      <c r="L6" s="20">
        <v>2681</v>
      </c>
      <c r="M6" s="21"/>
      <c r="N6" s="21">
        <f t="shared" si="0"/>
        <v>0</v>
      </c>
    </row>
    <row r="7" s="4" customFormat="1" ht="100" customHeight="1" spans="1:14">
      <c r="A7" s="10">
        <v>4</v>
      </c>
      <c r="B7" s="10" t="s">
        <v>15</v>
      </c>
      <c r="C7" s="10" t="s">
        <v>16</v>
      </c>
      <c r="D7" s="10" t="s">
        <v>17</v>
      </c>
      <c r="E7" s="11" t="s">
        <v>29</v>
      </c>
      <c r="F7" s="11" t="s">
        <v>19</v>
      </c>
      <c r="G7" s="11" t="str">
        <f>_xlfn.DISPIMG("ID_11ECC2BD89784285AD1189FF4158F9E4",1)</f>
        <v>=DISPIMG("ID_11ECC2BD89784285AD1189FF4158F9E4",1)</v>
      </c>
      <c r="H7" s="10" t="s">
        <v>30</v>
      </c>
      <c r="I7" s="10" t="s">
        <v>31</v>
      </c>
      <c r="J7" s="10" t="s">
        <v>22</v>
      </c>
      <c r="K7" s="10">
        <v>60</v>
      </c>
      <c r="L7" s="20">
        <v>3513</v>
      </c>
      <c r="M7" s="21"/>
      <c r="N7" s="21">
        <f t="shared" si="0"/>
        <v>0</v>
      </c>
    </row>
    <row r="8" s="4" customFormat="1" ht="100" customHeight="1" spans="1:14">
      <c r="A8" s="10">
        <v>5</v>
      </c>
      <c r="B8" s="10" t="s">
        <v>15</v>
      </c>
      <c r="C8" s="10" t="s">
        <v>16</v>
      </c>
      <c r="D8" s="10" t="s">
        <v>15</v>
      </c>
      <c r="E8" s="11" t="s">
        <v>32</v>
      </c>
      <c r="F8" s="11" t="s">
        <v>19</v>
      </c>
      <c r="G8" s="11" t="str">
        <f>_xlfn.DISPIMG("ID_9F568E8FDA814AA9875153B3B5337545",1)</f>
        <v>=DISPIMG("ID_9F568E8FDA814AA9875153B3B5337545",1)</v>
      </c>
      <c r="H8" s="13" t="s">
        <v>33</v>
      </c>
      <c r="I8" s="10" t="s">
        <v>34</v>
      </c>
      <c r="J8" s="10" t="s">
        <v>22</v>
      </c>
      <c r="K8" s="10">
        <v>60</v>
      </c>
      <c r="L8" s="20">
        <v>1056</v>
      </c>
      <c r="M8" s="21"/>
      <c r="N8" s="21">
        <f t="shared" si="0"/>
        <v>0</v>
      </c>
    </row>
    <row r="9" s="4" customFormat="1" ht="100" customHeight="1" spans="1:14">
      <c r="A9" s="10">
        <v>6</v>
      </c>
      <c r="B9" s="10" t="s">
        <v>15</v>
      </c>
      <c r="C9" s="10" t="s">
        <v>16</v>
      </c>
      <c r="D9" s="11" t="s">
        <v>35</v>
      </c>
      <c r="E9" s="11" t="s">
        <v>36</v>
      </c>
      <c r="F9" s="11" t="s">
        <v>19</v>
      </c>
      <c r="G9" s="11" t="str">
        <f>_xlfn.DISPIMG("ID_7838F101075740D5948E548BD8E4A955",1)</f>
        <v>=DISPIMG("ID_7838F101075740D5948E548BD8E4A955",1)</v>
      </c>
      <c r="H9" s="13" t="s">
        <v>37</v>
      </c>
      <c r="I9" s="10" t="s">
        <v>38</v>
      </c>
      <c r="J9" s="10" t="s">
        <v>22</v>
      </c>
      <c r="K9" s="10">
        <v>60</v>
      </c>
      <c r="L9" s="20">
        <v>1772</v>
      </c>
      <c r="M9" s="21"/>
      <c r="N9" s="21">
        <f t="shared" si="0"/>
        <v>0</v>
      </c>
    </row>
    <row r="10" s="4" customFormat="1" ht="100" customHeight="1" spans="1:14">
      <c r="A10" s="10">
        <v>7</v>
      </c>
      <c r="B10" s="10" t="s">
        <v>15</v>
      </c>
      <c r="C10" s="10" t="s">
        <v>16</v>
      </c>
      <c r="D10" s="11" t="s">
        <v>35</v>
      </c>
      <c r="E10" s="11" t="s">
        <v>39</v>
      </c>
      <c r="F10" s="11" t="s">
        <v>19</v>
      </c>
      <c r="G10" s="11" t="str">
        <f>_xlfn.DISPIMG("ID_2F29796925AB4923860BE96FB9F4F30C",1)</f>
        <v>=DISPIMG("ID_2F29796925AB4923860BE96FB9F4F30C",1)</v>
      </c>
      <c r="H10" s="13" t="s">
        <v>40</v>
      </c>
      <c r="I10" s="10" t="s">
        <v>41</v>
      </c>
      <c r="J10" s="10" t="s">
        <v>22</v>
      </c>
      <c r="K10" s="10">
        <v>60</v>
      </c>
      <c r="L10" s="20">
        <v>1890</v>
      </c>
      <c r="M10" s="21"/>
      <c r="N10" s="21">
        <f t="shared" si="0"/>
        <v>0</v>
      </c>
    </row>
    <row r="11" s="4" customFormat="1" ht="100" customHeight="1" spans="1:14">
      <c r="A11" s="10">
        <v>8</v>
      </c>
      <c r="B11" s="10" t="s">
        <v>15</v>
      </c>
      <c r="C11" s="10" t="s">
        <v>16</v>
      </c>
      <c r="D11" s="10" t="s">
        <v>35</v>
      </c>
      <c r="E11" s="11" t="s">
        <v>42</v>
      </c>
      <c r="F11" s="11" t="s">
        <v>19</v>
      </c>
      <c r="G11" s="11" t="str">
        <f>_xlfn.DISPIMG("ID_00C0E9BA17AC4CD8AE8D3168822C4C3E",1)</f>
        <v>=DISPIMG("ID_00C0E9BA17AC4CD8AE8D3168822C4C3E",1)</v>
      </c>
      <c r="H11" s="13" t="s">
        <v>43</v>
      </c>
      <c r="I11" s="10" t="s">
        <v>44</v>
      </c>
      <c r="J11" s="10" t="s">
        <v>22</v>
      </c>
      <c r="K11" s="10">
        <v>60</v>
      </c>
      <c r="L11" s="20">
        <v>1380</v>
      </c>
      <c r="M11" s="21"/>
      <c r="N11" s="21">
        <f t="shared" si="0"/>
        <v>0</v>
      </c>
    </row>
    <row r="12" s="4" customFormat="1" ht="100" customHeight="1" spans="1:14">
      <c r="A12" s="10">
        <v>9</v>
      </c>
      <c r="B12" s="10" t="s">
        <v>15</v>
      </c>
      <c r="C12" s="10" t="s">
        <v>16</v>
      </c>
      <c r="D12" s="10" t="s">
        <v>35</v>
      </c>
      <c r="E12" s="11" t="s">
        <v>45</v>
      </c>
      <c r="F12" s="11" t="s">
        <v>19</v>
      </c>
      <c r="G12" s="11" t="str">
        <f>_xlfn.DISPIMG("ID_49E1F2B9F52249EE94364821653B81CC",1)</f>
        <v>=DISPIMG("ID_49E1F2B9F52249EE94364821653B81CC",1)</v>
      </c>
      <c r="H12" s="13" t="s">
        <v>46</v>
      </c>
      <c r="I12" s="10" t="s">
        <v>47</v>
      </c>
      <c r="J12" s="10" t="s">
        <v>22</v>
      </c>
      <c r="K12" s="10">
        <v>60</v>
      </c>
      <c r="L12" s="20">
        <v>2160</v>
      </c>
      <c r="M12" s="21"/>
      <c r="N12" s="21">
        <f t="shared" si="0"/>
        <v>0</v>
      </c>
    </row>
    <row r="13" s="4" customFormat="1" ht="100" customHeight="1" spans="1:14">
      <c r="A13" s="10">
        <v>10</v>
      </c>
      <c r="B13" s="10" t="s">
        <v>15</v>
      </c>
      <c r="C13" s="10" t="s">
        <v>16</v>
      </c>
      <c r="D13" s="10" t="s">
        <v>15</v>
      </c>
      <c r="E13" s="11" t="s">
        <v>48</v>
      </c>
      <c r="F13" s="11" t="s">
        <v>19</v>
      </c>
      <c r="G13" s="11" t="str">
        <f>_xlfn.DISPIMG("ID_0973DE2D22F44BA2872B266A5CB4FE48",1)</f>
        <v>=DISPIMG("ID_0973DE2D22F44BA2872B266A5CB4FE48",1)</v>
      </c>
      <c r="H13" s="13" t="s">
        <v>49</v>
      </c>
      <c r="I13" s="10" t="s">
        <v>34</v>
      </c>
      <c r="J13" s="10" t="s">
        <v>22</v>
      </c>
      <c r="K13" s="10">
        <v>60</v>
      </c>
      <c r="L13" s="20">
        <v>840</v>
      </c>
      <c r="M13" s="21"/>
      <c r="N13" s="21">
        <f t="shared" si="0"/>
        <v>0</v>
      </c>
    </row>
    <row r="14" s="4" customFormat="1" ht="100" customHeight="1" spans="1:14">
      <c r="A14" s="10">
        <v>11</v>
      </c>
      <c r="B14" s="10" t="s">
        <v>15</v>
      </c>
      <c r="C14" s="10" t="s">
        <v>16</v>
      </c>
      <c r="D14" s="10" t="s">
        <v>15</v>
      </c>
      <c r="E14" s="11" t="s">
        <v>50</v>
      </c>
      <c r="F14" s="11" t="s">
        <v>19</v>
      </c>
      <c r="G14" s="11" t="str">
        <f>_xlfn.DISPIMG("ID_C19EEC040E344B2CB9B1FF371B2C4659",1)</f>
        <v>=DISPIMG("ID_C19EEC040E344B2CB9B1FF371B2C4659",1)</v>
      </c>
      <c r="H14" s="13" t="s">
        <v>51</v>
      </c>
      <c r="I14" s="10" t="s">
        <v>52</v>
      </c>
      <c r="J14" s="10" t="s">
        <v>22</v>
      </c>
      <c r="K14" s="10">
        <v>60</v>
      </c>
      <c r="L14" s="20">
        <v>940</v>
      </c>
      <c r="M14" s="21"/>
      <c r="N14" s="21">
        <f t="shared" si="0"/>
        <v>0</v>
      </c>
    </row>
    <row r="15" s="4" customFormat="1" ht="100" customHeight="1" spans="1:14">
      <c r="A15" s="10">
        <v>12</v>
      </c>
      <c r="B15" s="10" t="s">
        <v>15</v>
      </c>
      <c r="C15" s="10" t="s">
        <v>16</v>
      </c>
      <c r="D15" s="10" t="s">
        <v>15</v>
      </c>
      <c r="E15" s="11" t="s">
        <v>53</v>
      </c>
      <c r="F15" s="11" t="s">
        <v>19</v>
      </c>
      <c r="G15" s="11" t="str">
        <f>_xlfn.DISPIMG("ID_8B7DDFB8C80941C4A285C905B7697D47",1)</f>
        <v>=DISPIMG("ID_8B7DDFB8C80941C4A285C905B7697D47",1)</v>
      </c>
      <c r="H15" s="13" t="s">
        <v>54</v>
      </c>
      <c r="I15" s="10" t="s">
        <v>34</v>
      </c>
      <c r="J15" s="10" t="s">
        <v>22</v>
      </c>
      <c r="K15" s="10">
        <v>60</v>
      </c>
      <c r="L15" s="20">
        <v>778</v>
      </c>
      <c r="M15" s="21"/>
      <c r="N15" s="21">
        <f t="shared" si="0"/>
        <v>0</v>
      </c>
    </row>
    <row r="16" s="4" customFormat="1" ht="100" customHeight="1" spans="1:14">
      <c r="A16" s="10">
        <v>13</v>
      </c>
      <c r="B16" s="10" t="s">
        <v>15</v>
      </c>
      <c r="C16" s="10" t="s">
        <v>16</v>
      </c>
      <c r="D16" s="10" t="s">
        <v>15</v>
      </c>
      <c r="E16" s="11" t="s">
        <v>55</v>
      </c>
      <c r="F16" s="11" t="s">
        <v>19</v>
      </c>
      <c r="G16" s="11" t="str">
        <f>_xlfn.DISPIMG("ID_DB0E7AB7F1564C0FAD78D04999E8EC48",1)</f>
        <v>=DISPIMG("ID_DB0E7AB7F1564C0FAD78D04999E8EC48",1)</v>
      </c>
      <c r="H16" s="13" t="s">
        <v>54</v>
      </c>
      <c r="I16" s="10" t="s">
        <v>34</v>
      </c>
      <c r="J16" s="10" t="s">
        <v>22</v>
      </c>
      <c r="K16" s="10">
        <v>60</v>
      </c>
      <c r="L16" s="20">
        <v>755</v>
      </c>
      <c r="M16" s="21"/>
      <c r="N16" s="21">
        <f t="shared" si="0"/>
        <v>0</v>
      </c>
    </row>
    <row r="17" s="4" customFormat="1" ht="100" customHeight="1" spans="1:14">
      <c r="A17" s="10">
        <v>14</v>
      </c>
      <c r="B17" s="10" t="s">
        <v>15</v>
      </c>
      <c r="C17" s="10" t="s">
        <v>16</v>
      </c>
      <c r="D17" s="10" t="s">
        <v>15</v>
      </c>
      <c r="E17" s="11" t="s">
        <v>56</v>
      </c>
      <c r="F17" s="11" t="s">
        <v>19</v>
      </c>
      <c r="G17" s="11" t="str">
        <f>_xlfn.DISPIMG("ID_CB11C529E8114A218A318ABACD8C6013",1)</f>
        <v>=DISPIMG("ID_CB11C529E8114A218A318ABACD8C6013",1)</v>
      </c>
      <c r="H17" s="13" t="s">
        <v>54</v>
      </c>
      <c r="I17" s="10" t="s">
        <v>34</v>
      </c>
      <c r="J17" s="10" t="s">
        <v>22</v>
      </c>
      <c r="K17" s="10">
        <v>60</v>
      </c>
      <c r="L17" s="20">
        <v>755</v>
      </c>
      <c r="M17" s="21"/>
      <c r="N17" s="21">
        <f t="shared" si="0"/>
        <v>0</v>
      </c>
    </row>
    <row r="18" s="4" customFormat="1" ht="100" customHeight="1" spans="1:14">
      <c r="A18" s="10">
        <v>15</v>
      </c>
      <c r="B18" s="10" t="s">
        <v>15</v>
      </c>
      <c r="C18" s="10" t="s">
        <v>16</v>
      </c>
      <c r="D18" s="10" t="s">
        <v>15</v>
      </c>
      <c r="E18" s="11" t="s">
        <v>57</v>
      </c>
      <c r="F18" s="11" t="s">
        <v>19</v>
      </c>
      <c r="G18" s="11" t="str">
        <f>_xlfn.DISPIMG("ID_F87E622FF38745EA99F88E003ECE4DE1",1)</f>
        <v>=DISPIMG("ID_F87E622FF38745EA99F88E003ECE4DE1",1)</v>
      </c>
      <c r="H18" s="13" t="s">
        <v>58</v>
      </c>
      <c r="I18" s="10" t="s">
        <v>34</v>
      </c>
      <c r="J18" s="10" t="s">
        <v>22</v>
      </c>
      <c r="K18" s="10">
        <v>60</v>
      </c>
      <c r="L18" s="20">
        <v>765</v>
      </c>
      <c r="M18" s="21"/>
      <c r="N18" s="21">
        <f t="shared" si="0"/>
        <v>0</v>
      </c>
    </row>
    <row r="19" s="4" customFormat="1" ht="100" customHeight="1" spans="1:14">
      <c r="A19" s="10">
        <v>16</v>
      </c>
      <c r="B19" s="10" t="s">
        <v>15</v>
      </c>
      <c r="C19" s="10" t="s">
        <v>16</v>
      </c>
      <c r="D19" s="10" t="s">
        <v>15</v>
      </c>
      <c r="E19" s="10" t="s">
        <v>59</v>
      </c>
      <c r="F19" s="11" t="s">
        <v>19</v>
      </c>
      <c r="G19" s="12" t="str">
        <f>_xlfn.DISPIMG("ID_B99FD3D8C32B4F4DA9ABC51381474D59",1)</f>
        <v>=DISPIMG("ID_B99FD3D8C32B4F4DA9ABC51381474D59",1)</v>
      </c>
      <c r="H19" s="13" t="s">
        <v>60</v>
      </c>
      <c r="I19" s="10" t="s">
        <v>61</v>
      </c>
      <c r="J19" s="10" t="s">
        <v>22</v>
      </c>
      <c r="K19" s="10">
        <v>60</v>
      </c>
      <c r="L19" s="20">
        <v>940</v>
      </c>
      <c r="M19" s="21"/>
      <c r="N19" s="21">
        <f t="shared" si="0"/>
        <v>0</v>
      </c>
    </row>
    <row r="20" s="4" customFormat="1" ht="100" customHeight="1" spans="1:14">
      <c r="A20" s="10">
        <v>17</v>
      </c>
      <c r="B20" s="10" t="s">
        <v>15</v>
      </c>
      <c r="C20" s="10" t="s">
        <v>16</v>
      </c>
      <c r="D20" s="10" t="s">
        <v>15</v>
      </c>
      <c r="E20" s="10" t="s">
        <v>62</v>
      </c>
      <c r="F20" s="11" t="s">
        <v>19</v>
      </c>
      <c r="G20" s="12" t="str">
        <f>_xlfn.DISPIMG("ID_97F44008F22E4E4DAF439486B6DD01ED",1)</f>
        <v>=DISPIMG("ID_97F44008F22E4E4DAF439486B6DD01ED",1)</v>
      </c>
      <c r="H20" s="13" t="s">
        <v>63</v>
      </c>
      <c r="I20" s="10" t="s">
        <v>34</v>
      </c>
      <c r="J20" s="10" t="s">
        <v>22</v>
      </c>
      <c r="K20" s="10">
        <v>60</v>
      </c>
      <c r="L20" s="20">
        <v>665</v>
      </c>
      <c r="M20" s="21"/>
      <c r="N20" s="21">
        <f t="shared" si="0"/>
        <v>0</v>
      </c>
    </row>
    <row r="21" s="4" customFormat="1" ht="100" customHeight="1" spans="1:14">
      <c r="A21" s="10">
        <v>18</v>
      </c>
      <c r="B21" s="10" t="s">
        <v>15</v>
      </c>
      <c r="C21" s="10" t="s">
        <v>16</v>
      </c>
      <c r="D21" s="10" t="s">
        <v>64</v>
      </c>
      <c r="E21" s="11" t="s">
        <v>65</v>
      </c>
      <c r="F21" s="11" t="s">
        <v>19</v>
      </c>
      <c r="G21" s="11" t="str">
        <f>_xlfn.DISPIMG("ID_3564C3EB2FA743649A5D242A25FF7509",1)</f>
        <v>=DISPIMG("ID_3564C3EB2FA743649A5D242A25FF7509",1)</v>
      </c>
      <c r="H21" s="13" t="s">
        <v>66</v>
      </c>
      <c r="I21" s="10" t="s">
        <v>67</v>
      </c>
      <c r="J21" s="10" t="s">
        <v>22</v>
      </c>
      <c r="K21" s="10">
        <v>60</v>
      </c>
      <c r="L21" s="20">
        <v>656</v>
      </c>
      <c r="M21" s="21"/>
      <c r="N21" s="21">
        <f t="shared" si="0"/>
        <v>0</v>
      </c>
    </row>
    <row r="22" s="4" customFormat="1" ht="100" customHeight="1" spans="1:14">
      <c r="A22" s="10">
        <v>19</v>
      </c>
      <c r="B22" s="10" t="s">
        <v>15</v>
      </c>
      <c r="C22" s="10" t="s">
        <v>16</v>
      </c>
      <c r="D22" s="10" t="s">
        <v>64</v>
      </c>
      <c r="E22" s="11" t="s">
        <v>68</v>
      </c>
      <c r="F22" s="11" t="s">
        <v>19</v>
      </c>
      <c r="G22" s="11" t="str">
        <f>_xlfn.DISPIMG("ID_C200EDBF3F31448D907AF6632F89B3D7",1)</f>
        <v>=DISPIMG("ID_C200EDBF3F31448D907AF6632F89B3D7",1)</v>
      </c>
      <c r="H22" s="13" t="s">
        <v>69</v>
      </c>
      <c r="I22" s="10" t="s">
        <v>70</v>
      </c>
      <c r="J22" s="10" t="s">
        <v>22</v>
      </c>
      <c r="K22" s="10">
        <v>60</v>
      </c>
      <c r="L22" s="20">
        <v>690</v>
      </c>
      <c r="M22" s="21"/>
      <c r="N22" s="21">
        <f t="shared" si="0"/>
        <v>0</v>
      </c>
    </row>
    <row r="23" s="4" customFormat="1" ht="100" customHeight="1" spans="1:14">
      <c r="A23" s="10">
        <v>20</v>
      </c>
      <c r="B23" s="10" t="s">
        <v>15</v>
      </c>
      <c r="C23" s="10" t="s">
        <v>16</v>
      </c>
      <c r="D23" s="11" t="s">
        <v>71</v>
      </c>
      <c r="E23" s="11" t="s">
        <v>72</v>
      </c>
      <c r="F23" s="11" t="s">
        <v>19</v>
      </c>
      <c r="G23" s="11" t="str">
        <f>_xlfn.DISPIMG("ID_9631D604F1CD46D182D7790BF02692B1",1)</f>
        <v>=DISPIMG("ID_9631D604F1CD46D182D7790BF02692B1",1)</v>
      </c>
      <c r="H23" s="13" t="s">
        <v>73</v>
      </c>
      <c r="I23" s="10" t="s">
        <v>74</v>
      </c>
      <c r="J23" s="10" t="s">
        <v>22</v>
      </c>
      <c r="K23" s="10">
        <v>60</v>
      </c>
      <c r="L23" s="20">
        <v>555</v>
      </c>
      <c r="M23" s="21"/>
      <c r="N23" s="21">
        <f t="shared" si="0"/>
        <v>0</v>
      </c>
    </row>
    <row r="24" s="4" customFormat="1" ht="100" customHeight="1" spans="1:14">
      <c r="A24" s="10">
        <v>21</v>
      </c>
      <c r="B24" s="10" t="s">
        <v>15</v>
      </c>
      <c r="C24" s="10" t="s">
        <v>16</v>
      </c>
      <c r="D24" s="11" t="s">
        <v>75</v>
      </c>
      <c r="E24" s="11" t="s">
        <v>76</v>
      </c>
      <c r="F24" s="11" t="s">
        <v>19</v>
      </c>
      <c r="G24" s="11" t="str">
        <f>_xlfn.DISPIMG("ID_198894E60F98444B8150364D04885C1B",1)</f>
        <v>=DISPIMG("ID_198894E60F98444B8150364D04885C1B",1)</v>
      </c>
      <c r="H24" s="13" t="s">
        <v>77</v>
      </c>
      <c r="I24" s="10" t="s">
        <v>78</v>
      </c>
      <c r="J24" s="10" t="s">
        <v>22</v>
      </c>
      <c r="K24" s="10">
        <v>60</v>
      </c>
      <c r="L24" s="20">
        <v>114</v>
      </c>
      <c r="M24" s="21"/>
      <c r="N24" s="21">
        <f t="shared" si="0"/>
        <v>0</v>
      </c>
    </row>
    <row r="25" s="4" customFormat="1" ht="100" customHeight="1" spans="1:14">
      <c r="A25" s="10">
        <v>22</v>
      </c>
      <c r="B25" s="10" t="s">
        <v>15</v>
      </c>
      <c r="C25" s="10" t="s">
        <v>16</v>
      </c>
      <c r="D25" s="10" t="s">
        <v>79</v>
      </c>
      <c r="E25" s="11" t="s">
        <v>80</v>
      </c>
      <c r="F25" s="11" t="s">
        <v>19</v>
      </c>
      <c r="G25" s="11" t="str">
        <f>_xlfn.DISPIMG("ID_14EF1F0C086944449F4DC483430E6201",1)</f>
        <v>=DISPIMG("ID_14EF1F0C086944449F4DC483430E6201",1)</v>
      </c>
      <c r="H25" s="10" t="s">
        <v>81</v>
      </c>
      <c r="I25" s="10" t="s">
        <v>82</v>
      </c>
      <c r="J25" s="10" t="s">
        <v>22</v>
      </c>
      <c r="K25" s="10">
        <v>60</v>
      </c>
      <c r="L25" s="20">
        <v>1550</v>
      </c>
      <c r="M25" s="21"/>
      <c r="N25" s="21">
        <f t="shared" si="0"/>
        <v>0</v>
      </c>
    </row>
    <row r="26" s="4" customFormat="1" ht="100" customHeight="1" spans="1:14">
      <c r="A26" s="10">
        <v>23</v>
      </c>
      <c r="B26" s="10" t="s">
        <v>15</v>
      </c>
      <c r="C26" s="10" t="s">
        <v>16</v>
      </c>
      <c r="D26" s="10" t="s">
        <v>79</v>
      </c>
      <c r="E26" s="11" t="s">
        <v>83</v>
      </c>
      <c r="F26" s="11" t="s">
        <v>19</v>
      </c>
      <c r="G26" s="10" t="str">
        <f>_xlfn.DISPIMG("ID_A1CB196DF94A47E781DAE1923FCF30C8",1)</f>
        <v>=DISPIMG("ID_A1CB196DF94A47E781DAE1923FCF30C8",1)</v>
      </c>
      <c r="H26" s="10" t="s">
        <v>84</v>
      </c>
      <c r="I26" s="10" t="s">
        <v>82</v>
      </c>
      <c r="J26" s="10" t="s">
        <v>22</v>
      </c>
      <c r="K26" s="10">
        <v>60</v>
      </c>
      <c r="L26" s="20">
        <v>1550</v>
      </c>
      <c r="M26" s="21"/>
      <c r="N26" s="21">
        <f t="shared" si="0"/>
        <v>0</v>
      </c>
    </row>
    <row r="27" s="4" customFormat="1" ht="100" customHeight="1" spans="1:14">
      <c r="A27" s="10">
        <v>24</v>
      </c>
      <c r="B27" s="10" t="s">
        <v>15</v>
      </c>
      <c r="C27" s="10" t="s">
        <v>16</v>
      </c>
      <c r="D27" s="10" t="s">
        <v>85</v>
      </c>
      <c r="E27" s="12" t="s">
        <v>86</v>
      </c>
      <c r="F27" s="11" t="s">
        <v>19</v>
      </c>
      <c r="G27" s="12" t="str">
        <f>_xlfn.DISPIMG("ID_4221CB6B79FF41F78AC356CFBCFF975F",1)</f>
        <v>=DISPIMG("ID_4221CB6B79FF41F78AC356CFBCFF975F",1)</v>
      </c>
      <c r="H27" s="13" t="s">
        <v>87</v>
      </c>
      <c r="I27" s="13" t="s">
        <v>88</v>
      </c>
      <c r="J27" s="10" t="s">
        <v>22</v>
      </c>
      <c r="K27" s="10">
        <v>60</v>
      </c>
      <c r="L27" s="20">
        <v>25</v>
      </c>
      <c r="M27" s="21"/>
      <c r="N27" s="21">
        <f t="shared" si="0"/>
        <v>0</v>
      </c>
    </row>
    <row r="28" s="4" customFormat="1" ht="100" customHeight="1" spans="1:14">
      <c r="A28" s="10">
        <v>25</v>
      </c>
      <c r="B28" s="10" t="s">
        <v>15</v>
      </c>
      <c r="C28" s="10" t="s">
        <v>16</v>
      </c>
      <c r="D28" s="10" t="s">
        <v>85</v>
      </c>
      <c r="E28" s="11" t="s">
        <v>89</v>
      </c>
      <c r="F28" s="11" t="s">
        <v>19</v>
      </c>
      <c r="G28" s="11" t="str">
        <f>_xlfn.DISPIMG("ID_E86140AB39E843B2BDB24F027BCC7B5E",1)</f>
        <v>=DISPIMG("ID_E86140AB39E843B2BDB24F027BCC7B5E",1)</v>
      </c>
      <c r="H28" s="13" t="s">
        <v>90</v>
      </c>
      <c r="I28" s="13" t="s">
        <v>88</v>
      </c>
      <c r="J28" s="10" t="s">
        <v>22</v>
      </c>
      <c r="K28" s="10">
        <v>60</v>
      </c>
      <c r="L28" s="20">
        <v>25</v>
      </c>
      <c r="M28" s="21"/>
      <c r="N28" s="21">
        <f t="shared" si="0"/>
        <v>0</v>
      </c>
    </row>
    <row r="29" s="4" customFormat="1" ht="100" customHeight="1" spans="1:14">
      <c r="A29" s="10">
        <v>26</v>
      </c>
      <c r="B29" s="10" t="s">
        <v>15</v>
      </c>
      <c r="C29" s="10" t="s">
        <v>16</v>
      </c>
      <c r="D29" s="10" t="s">
        <v>85</v>
      </c>
      <c r="E29" s="11" t="s">
        <v>91</v>
      </c>
      <c r="F29" s="11" t="s">
        <v>19</v>
      </c>
      <c r="G29" s="11" t="str">
        <f>_xlfn.DISPIMG("ID_7D642F9CE5804AFDA2CC5C9677B4C1E4",1)</f>
        <v>=DISPIMG("ID_7D642F9CE5804AFDA2CC5C9677B4C1E4",1)</v>
      </c>
      <c r="H29" s="13" t="s">
        <v>90</v>
      </c>
      <c r="I29" s="13" t="s">
        <v>88</v>
      </c>
      <c r="J29" s="10" t="s">
        <v>22</v>
      </c>
      <c r="K29" s="10">
        <v>60</v>
      </c>
      <c r="L29" s="20">
        <v>25</v>
      </c>
      <c r="M29" s="21"/>
      <c r="N29" s="21">
        <f t="shared" si="0"/>
        <v>0</v>
      </c>
    </row>
    <row r="30" s="4" customFormat="1" ht="100" customHeight="1" spans="1:14">
      <c r="A30" s="10">
        <v>27</v>
      </c>
      <c r="B30" s="10" t="s">
        <v>15</v>
      </c>
      <c r="C30" s="10" t="s">
        <v>16</v>
      </c>
      <c r="D30" s="10" t="s">
        <v>92</v>
      </c>
      <c r="E30" s="11" t="s">
        <v>93</v>
      </c>
      <c r="F30" s="11" t="s">
        <v>19</v>
      </c>
      <c r="G30" s="11" t="str">
        <f>_xlfn.DISPIMG("ID_8ED52971E1AB45DC8E19F8CE0D360D9A",1)</f>
        <v>=DISPIMG("ID_8ED52971E1AB45DC8E19F8CE0D360D9A",1)</v>
      </c>
      <c r="H30" s="13" t="s">
        <v>94</v>
      </c>
      <c r="I30" s="13" t="s">
        <v>95</v>
      </c>
      <c r="J30" s="10" t="s">
        <v>22</v>
      </c>
      <c r="K30" s="10">
        <v>60</v>
      </c>
      <c r="L30" s="20">
        <v>40</v>
      </c>
      <c r="M30" s="21"/>
      <c r="N30" s="21">
        <f t="shared" si="0"/>
        <v>0</v>
      </c>
    </row>
    <row r="31" s="4" customFormat="1" ht="100" customHeight="1" spans="1:14">
      <c r="A31" s="10">
        <v>28</v>
      </c>
      <c r="B31" s="10" t="s">
        <v>15</v>
      </c>
      <c r="C31" s="10" t="s">
        <v>16</v>
      </c>
      <c r="D31" s="10" t="s">
        <v>96</v>
      </c>
      <c r="E31" s="11" t="s">
        <v>97</v>
      </c>
      <c r="F31" s="11" t="s">
        <v>19</v>
      </c>
      <c r="G31" s="11" t="str">
        <f>_xlfn.DISPIMG("ID_109AC3153C5545EDA79EC14818C35354",1)</f>
        <v>=DISPIMG("ID_109AC3153C5545EDA79EC14818C35354",1)</v>
      </c>
      <c r="H31" s="13" t="s">
        <v>98</v>
      </c>
      <c r="I31" s="13" t="s">
        <v>95</v>
      </c>
      <c r="J31" s="10" t="s">
        <v>22</v>
      </c>
      <c r="K31" s="10">
        <v>60</v>
      </c>
      <c r="L31" s="20">
        <v>50</v>
      </c>
      <c r="M31" s="21"/>
      <c r="N31" s="21">
        <f t="shared" si="0"/>
        <v>0</v>
      </c>
    </row>
    <row r="32" s="4" customFormat="1" ht="100" customHeight="1" spans="1:14">
      <c r="A32" s="10">
        <v>29</v>
      </c>
      <c r="B32" s="10" t="s">
        <v>15</v>
      </c>
      <c r="C32" s="10" t="s">
        <v>16</v>
      </c>
      <c r="D32" s="10" t="s">
        <v>99</v>
      </c>
      <c r="E32" s="11" t="s">
        <v>100</v>
      </c>
      <c r="F32" s="11" t="s">
        <v>19</v>
      </c>
      <c r="G32" s="11" t="str">
        <f>_xlfn.DISPIMG("ID_2A27A00A6E864ECB86A22A9A95692F54",1)</f>
        <v>=DISPIMG("ID_2A27A00A6E864ECB86A22A9A95692F54",1)</v>
      </c>
      <c r="H32" s="13" t="s">
        <v>101</v>
      </c>
      <c r="I32" s="13" t="s">
        <v>95</v>
      </c>
      <c r="J32" s="10" t="s">
        <v>22</v>
      </c>
      <c r="K32" s="10">
        <v>60</v>
      </c>
      <c r="L32" s="20">
        <v>50</v>
      </c>
      <c r="M32" s="21"/>
      <c r="N32" s="21">
        <f t="shared" si="0"/>
        <v>0</v>
      </c>
    </row>
    <row r="33" s="4" customFormat="1" ht="100" customHeight="1" spans="1:14">
      <c r="A33" s="10">
        <v>30</v>
      </c>
      <c r="B33" s="10" t="s">
        <v>15</v>
      </c>
      <c r="C33" s="10" t="s">
        <v>16</v>
      </c>
      <c r="D33" s="10" t="s">
        <v>102</v>
      </c>
      <c r="E33" s="11" t="s">
        <v>103</v>
      </c>
      <c r="F33" s="11" t="s">
        <v>19</v>
      </c>
      <c r="G33" s="11" t="str">
        <f>_xlfn.DISPIMG("ID_ADFD996E96C2431BBA2E3D2A0B57926C",1)</f>
        <v>=DISPIMG("ID_ADFD996E96C2431BBA2E3D2A0B57926C",1)</v>
      </c>
      <c r="H33" s="13" t="s">
        <v>104</v>
      </c>
      <c r="I33" s="13" t="s">
        <v>95</v>
      </c>
      <c r="J33" s="10" t="s">
        <v>22</v>
      </c>
      <c r="K33" s="10">
        <v>60</v>
      </c>
      <c r="L33" s="20">
        <v>25</v>
      </c>
      <c r="M33" s="21"/>
      <c r="N33" s="21">
        <f t="shared" si="0"/>
        <v>0</v>
      </c>
    </row>
    <row r="34" s="4" customFormat="1" ht="100" customHeight="1" spans="1:14">
      <c r="A34" s="10">
        <v>31</v>
      </c>
      <c r="B34" s="10" t="s">
        <v>15</v>
      </c>
      <c r="C34" s="10" t="s">
        <v>16</v>
      </c>
      <c r="D34" s="10" t="s">
        <v>105</v>
      </c>
      <c r="E34" s="11" t="s">
        <v>106</v>
      </c>
      <c r="F34" s="11" t="s">
        <v>19</v>
      </c>
      <c r="G34" s="11" t="str">
        <f>_xlfn.DISPIMG("ID_DDBD0467DD02424A9F987348536CC732",1)</f>
        <v>=DISPIMG("ID_DDBD0467DD02424A9F987348536CC732",1)</v>
      </c>
      <c r="H34" s="13" t="s">
        <v>107</v>
      </c>
      <c r="I34" s="13" t="s">
        <v>95</v>
      </c>
      <c r="J34" s="10" t="s">
        <v>22</v>
      </c>
      <c r="K34" s="10">
        <v>60</v>
      </c>
      <c r="L34" s="20">
        <v>25</v>
      </c>
      <c r="M34" s="21"/>
      <c r="N34" s="21">
        <f t="shared" si="0"/>
        <v>0</v>
      </c>
    </row>
    <row r="35" s="4" customFormat="1" ht="100" customHeight="1" spans="1:14">
      <c r="A35" s="10">
        <v>32</v>
      </c>
      <c r="B35" s="10" t="s">
        <v>15</v>
      </c>
      <c r="C35" s="10" t="s">
        <v>16</v>
      </c>
      <c r="D35" s="10" t="s">
        <v>108</v>
      </c>
      <c r="E35" s="11" t="s">
        <v>109</v>
      </c>
      <c r="F35" s="11" t="s">
        <v>19</v>
      </c>
      <c r="G35" s="11" t="str">
        <f>_xlfn.DISPIMG("ID_504B7759D46740798DA948432FAEBF5E",1)</f>
        <v>=DISPIMG("ID_504B7759D46740798DA948432FAEBF5E",1)</v>
      </c>
      <c r="H35" s="13" t="s">
        <v>110</v>
      </c>
      <c r="I35" s="10" t="s">
        <v>111</v>
      </c>
      <c r="J35" s="10" t="s">
        <v>112</v>
      </c>
      <c r="K35" s="10">
        <v>60</v>
      </c>
      <c r="L35" s="20">
        <v>20</v>
      </c>
      <c r="M35" s="21"/>
      <c r="N35" s="21">
        <f t="shared" si="0"/>
        <v>0</v>
      </c>
    </row>
    <row r="36" s="4" customFormat="1" ht="100" customHeight="1" spans="1:14">
      <c r="A36" s="10">
        <v>33</v>
      </c>
      <c r="B36" s="10" t="s">
        <v>15</v>
      </c>
      <c r="C36" s="10" t="s">
        <v>16</v>
      </c>
      <c r="D36" s="10" t="s">
        <v>108</v>
      </c>
      <c r="E36" s="11" t="s">
        <v>113</v>
      </c>
      <c r="F36" s="11" t="s">
        <v>19</v>
      </c>
      <c r="G36" s="11" t="str">
        <f>_xlfn.DISPIMG("ID_3243104F3A8D4C8EA20713E36EFEF219",1)</f>
        <v>=DISPIMG("ID_3243104F3A8D4C8EA20713E36EFEF219",1)</v>
      </c>
      <c r="H36" s="13" t="s">
        <v>110</v>
      </c>
      <c r="I36" s="10" t="s">
        <v>111</v>
      </c>
      <c r="J36" s="10" t="s">
        <v>112</v>
      </c>
      <c r="K36" s="10">
        <v>60</v>
      </c>
      <c r="L36" s="20">
        <v>20</v>
      </c>
      <c r="M36" s="21"/>
      <c r="N36" s="21">
        <f t="shared" si="0"/>
        <v>0</v>
      </c>
    </row>
    <row r="37" s="4" customFormat="1" ht="100" customHeight="1" spans="1:14">
      <c r="A37" s="10">
        <v>34</v>
      </c>
      <c r="B37" s="10" t="s">
        <v>114</v>
      </c>
      <c r="C37" s="10" t="s">
        <v>16</v>
      </c>
      <c r="D37" s="10" t="s">
        <v>114</v>
      </c>
      <c r="E37" s="11" t="s">
        <v>115</v>
      </c>
      <c r="F37" s="11" t="s">
        <v>19</v>
      </c>
      <c r="G37" s="11" t="str">
        <f>_xlfn.DISPIMG("ID_5463A89DE56E44D49FD503E979E8418F",1)</f>
        <v>=DISPIMG("ID_5463A89DE56E44D49FD503E979E8418F",1)</v>
      </c>
      <c r="H37" s="13" t="s">
        <v>116</v>
      </c>
      <c r="I37" s="10" t="s">
        <v>117</v>
      </c>
      <c r="J37" s="10" t="s">
        <v>22</v>
      </c>
      <c r="K37" s="10">
        <v>60</v>
      </c>
      <c r="L37" s="20">
        <v>230</v>
      </c>
      <c r="M37" s="21"/>
      <c r="N37" s="21">
        <f t="shared" si="0"/>
        <v>0</v>
      </c>
    </row>
    <row r="38" s="4" customFormat="1" ht="100" customHeight="1" spans="1:14">
      <c r="A38" s="10">
        <v>35</v>
      </c>
      <c r="B38" s="10" t="s">
        <v>114</v>
      </c>
      <c r="C38" s="10" t="s">
        <v>16</v>
      </c>
      <c r="D38" s="10" t="s">
        <v>114</v>
      </c>
      <c r="E38" s="11" t="s">
        <v>118</v>
      </c>
      <c r="F38" s="11" t="s">
        <v>19</v>
      </c>
      <c r="G38" s="11" t="str">
        <f>_xlfn.DISPIMG("ID_1EF4E86FF6154A22BC706F28B02D427C",1)</f>
        <v>=DISPIMG("ID_1EF4E86FF6154A22BC706F28B02D427C",1)</v>
      </c>
      <c r="H38" s="13" t="s">
        <v>119</v>
      </c>
      <c r="I38" s="10" t="s">
        <v>120</v>
      </c>
      <c r="J38" s="10" t="s">
        <v>22</v>
      </c>
      <c r="K38" s="10">
        <v>60</v>
      </c>
      <c r="L38" s="20">
        <v>200</v>
      </c>
      <c r="M38" s="21"/>
      <c r="N38" s="21">
        <f t="shared" si="0"/>
        <v>0</v>
      </c>
    </row>
    <row r="39" s="4" customFormat="1" ht="100" customHeight="1" spans="1:14">
      <c r="A39" s="10">
        <v>36</v>
      </c>
      <c r="B39" s="10" t="s">
        <v>114</v>
      </c>
      <c r="C39" s="10" t="s">
        <v>16</v>
      </c>
      <c r="D39" s="10" t="s">
        <v>114</v>
      </c>
      <c r="E39" s="11" t="s">
        <v>121</v>
      </c>
      <c r="F39" s="11" t="s">
        <v>19</v>
      </c>
      <c r="G39" s="11" t="str">
        <f>_xlfn.DISPIMG("ID_B5D8B83B1DBE4182B66DFFF5952C8974",1)</f>
        <v>=DISPIMG("ID_B5D8B83B1DBE4182B66DFFF5952C8974",1)</v>
      </c>
      <c r="H39" s="13" t="s">
        <v>122</v>
      </c>
      <c r="I39" s="10" t="s">
        <v>123</v>
      </c>
      <c r="J39" s="10" t="s">
        <v>22</v>
      </c>
      <c r="K39" s="10">
        <v>60</v>
      </c>
      <c r="L39" s="20">
        <v>310</v>
      </c>
      <c r="M39" s="21"/>
      <c r="N39" s="21">
        <f t="shared" si="0"/>
        <v>0</v>
      </c>
    </row>
    <row r="40" s="4" customFormat="1" ht="100" customHeight="1" spans="1:14">
      <c r="A40" s="10">
        <v>37</v>
      </c>
      <c r="B40" s="10" t="s">
        <v>114</v>
      </c>
      <c r="C40" s="10" t="s">
        <v>16</v>
      </c>
      <c r="D40" s="10" t="s">
        <v>114</v>
      </c>
      <c r="E40" s="11" t="s">
        <v>124</v>
      </c>
      <c r="F40" s="11" t="s">
        <v>19</v>
      </c>
      <c r="G40" s="11" t="str">
        <f>_xlfn.DISPIMG("ID_E47BD5987F954877B55141A5472F015C",1)</f>
        <v>=DISPIMG("ID_E47BD5987F954877B55141A5472F015C",1)</v>
      </c>
      <c r="H40" s="13" t="s">
        <v>125</v>
      </c>
      <c r="I40" s="10" t="s">
        <v>123</v>
      </c>
      <c r="J40" s="10" t="s">
        <v>22</v>
      </c>
      <c r="K40" s="10">
        <v>60</v>
      </c>
      <c r="L40" s="20">
        <v>210</v>
      </c>
      <c r="M40" s="21"/>
      <c r="N40" s="21">
        <f t="shared" si="0"/>
        <v>0</v>
      </c>
    </row>
    <row r="41" s="4" customFormat="1" ht="100" customHeight="1" spans="1:14">
      <c r="A41" s="10">
        <v>38</v>
      </c>
      <c r="B41" s="10" t="s">
        <v>114</v>
      </c>
      <c r="C41" s="10" t="s">
        <v>16</v>
      </c>
      <c r="D41" s="10" t="s">
        <v>114</v>
      </c>
      <c r="E41" s="11" t="s">
        <v>126</v>
      </c>
      <c r="F41" s="11" t="s">
        <v>19</v>
      </c>
      <c r="G41" s="11" t="str">
        <f>_xlfn.DISPIMG("ID_EC513FD9BF9A4282A3E94268FB72C82B",1)</f>
        <v>=DISPIMG("ID_EC513FD9BF9A4282A3E94268FB72C82B",1)</v>
      </c>
      <c r="H41" s="13" t="s">
        <v>127</v>
      </c>
      <c r="I41" s="10" t="s">
        <v>123</v>
      </c>
      <c r="J41" s="10" t="s">
        <v>22</v>
      </c>
      <c r="K41" s="10">
        <v>60</v>
      </c>
      <c r="L41" s="20">
        <v>210</v>
      </c>
      <c r="M41" s="21"/>
      <c r="N41" s="21">
        <f t="shared" si="0"/>
        <v>0</v>
      </c>
    </row>
    <row r="42" s="4" customFormat="1" ht="100" customHeight="1" spans="1:14">
      <c r="A42" s="10">
        <v>39</v>
      </c>
      <c r="B42" s="10" t="s">
        <v>114</v>
      </c>
      <c r="C42" s="10" t="s">
        <v>16</v>
      </c>
      <c r="D42" s="10" t="s">
        <v>114</v>
      </c>
      <c r="E42" s="12" t="s">
        <v>128</v>
      </c>
      <c r="F42" s="11" t="s">
        <v>19</v>
      </c>
      <c r="G42" s="12" t="str">
        <f>_xlfn.DISPIMG("ID_AE77884B702B4C7A8326E0954190DD73",1)</f>
        <v>=DISPIMG("ID_AE77884B702B4C7A8326E0954190DD73",1)</v>
      </c>
      <c r="H42" s="13" t="s">
        <v>129</v>
      </c>
      <c r="I42" s="10" t="s">
        <v>123</v>
      </c>
      <c r="J42" s="10" t="s">
        <v>22</v>
      </c>
      <c r="K42" s="10">
        <v>60</v>
      </c>
      <c r="L42" s="20">
        <v>205</v>
      </c>
      <c r="M42" s="21"/>
      <c r="N42" s="21">
        <f t="shared" si="0"/>
        <v>0</v>
      </c>
    </row>
    <row r="43" s="4" customFormat="1" ht="100" customHeight="1" spans="1:14">
      <c r="A43" s="10">
        <v>40</v>
      </c>
      <c r="B43" s="10" t="s">
        <v>114</v>
      </c>
      <c r="C43" s="10" t="s">
        <v>16</v>
      </c>
      <c r="D43" s="10" t="s">
        <v>114</v>
      </c>
      <c r="E43" s="12" t="s">
        <v>130</v>
      </c>
      <c r="F43" s="11" t="s">
        <v>19</v>
      </c>
      <c r="G43" s="12" t="str">
        <f>_xlfn.DISPIMG("ID_5E50594BBC124B389B69C384A7D52423",1)</f>
        <v>=DISPIMG("ID_5E50594BBC124B389B69C384A7D52423",1)</v>
      </c>
      <c r="H43" s="13" t="s">
        <v>131</v>
      </c>
      <c r="I43" s="10" t="s">
        <v>117</v>
      </c>
      <c r="J43" s="10" t="s">
        <v>22</v>
      </c>
      <c r="K43" s="10">
        <v>60</v>
      </c>
      <c r="L43" s="20">
        <v>215</v>
      </c>
      <c r="M43" s="21"/>
      <c r="N43" s="21">
        <f t="shared" si="0"/>
        <v>0</v>
      </c>
    </row>
    <row r="44" s="4" customFormat="1" ht="100" customHeight="1" spans="1:14">
      <c r="A44" s="10">
        <v>41</v>
      </c>
      <c r="B44" s="10" t="s">
        <v>114</v>
      </c>
      <c r="C44" s="10" t="s">
        <v>16</v>
      </c>
      <c r="D44" s="10" t="s">
        <v>114</v>
      </c>
      <c r="E44" s="11" t="s">
        <v>132</v>
      </c>
      <c r="F44" s="11" t="s">
        <v>19</v>
      </c>
      <c r="G44" s="11" t="str">
        <f>_xlfn.DISPIMG("ID_F9BF357FC70E469895BD11152FC60446",1)</f>
        <v>=DISPIMG("ID_F9BF357FC70E469895BD11152FC60446",1)</v>
      </c>
      <c r="H44" s="13" t="s">
        <v>133</v>
      </c>
      <c r="I44" s="10" t="s">
        <v>134</v>
      </c>
      <c r="J44" s="10" t="s">
        <v>22</v>
      </c>
      <c r="K44" s="10">
        <v>60</v>
      </c>
      <c r="L44" s="20">
        <v>260</v>
      </c>
      <c r="M44" s="21"/>
      <c r="N44" s="21">
        <f t="shared" si="0"/>
        <v>0</v>
      </c>
    </row>
    <row r="45" s="4" customFormat="1" ht="100" customHeight="1" spans="1:14">
      <c r="A45" s="10">
        <v>42</v>
      </c>
      <c r="B45" s="10" t="s">
        <v>114</v>
      </c>
      <c r="C45" s="10" t="s">
        <v>16</v>
      </c>
      <c r="D45" s="10" t="s">
        <v>114</v>
      </c>
      <c r="E45" s="11" t="s">
        <v>135</v>
      </c>
      <c r="F45" s="11" t="s">
        <v>19</v>
      </c>
      <c r="G45" s="11" t="str">
        <f>_xlfn.DISPIMG("ID_0579275350E948D3829494185B2253B4",1)</f>
        <v>=DISPIMG("ID_0579275350E948D3829494185B2253B4",1)</v>
      </c>
      <c r="H45" s="13" t="s">
        <v>136</v>
      </c>
      <c r="I45" s="10" t="s">
        <v>123</v>
      </c>
      <c r="J45" s="10" t="s">
        <v>22</v>
      </c>
      <c r="K45" s="10">
        <v>60</v>
      </c>
      <c r="L45" s="20">
        <v>200</v>
      </c>
      <c r="M45" s="21"/>
      <c r="N45" s="21">
        <f t="shared" si="0"/>
        <v>0</v>
      </c>
    </row>
    <row r="46" s="4" customFormat="1" ht="100" customHeight="1" spans="1:14">
      <c r="A46" s="10">
        <v>43</v>
      </c>
      <c r="B46" s="10" t="s">
        <v>114</v>
      </c>
      <c r="C46" s="10" t="s">
        <v>16</v>
      </c>
      <c r="D46" s="10" t="s">
        <v>137</v>
      </c>
      <c r="E46" s="10" t="s">
        <v>138</v>
      </c>
      <c r="F46" s="11" t="s">
        <v>19</v>
      </c>
      <c r="G46" s="11" t="str">
        <f>_xlfn.DISPIMG("ID_82A274E7B842418388BFA244D9F03346",1)</f>
        <v>=DISPIMG("ID_82A274E7B842418388BFA244D9F03346",1)</v>
      </c>
      <c r="H46" s="10" t="s">
        <v>139</v>
      </c>
      <c r="I46" s="10" t="s">
        <v>140</v>
      </c>
      <c r="J46" s="10" t="s">
        <v>22</v>
      </c>
      <c r="K46" s="10">
        <v>60</v>
      </c>
      <c r="L46" s="20">
        <v>160</v>
      </c>
      <c r="M46" s="21"/>
      <c r="N46" s="21">
        <f t="shared" si="0"/>
        <v>0</v>
      </c>
    </row>
    <row r="47" s="4" customFormat="1" ht="100" customHeight="1" spans="1:14">
      <c r="A47" s="10">
        <v>44</v>
      </c>
      <c r="B47" s="10" t="s">
        <v>114</v>
      </c>
      <c r="C47" s="10" t="s">
        <v>16</v>
      </c>
      <c r="D47" s="10" t="s">
        <v>141</v>
      </c>
      <c r="E47" s="11" t="s">
        <v>142</v>
      </c>
      <c r="F47" s="11" t="s">
        <v>19</v>
      </c>
      <c r="G47" s="11" t="str">
        <f>_xlfn.DISPIMG("ID_15F530F7F57844EE9673969905E5E860",1)</f>
        <v>=DISPIMG("ID_15F530F7F57844EE9673969905E5E860",1)</v>
      </c>
      <c r="H47" s="10" t="s">
        <v>143</v>
      </c>
      <c r="I47" s="10" t="s">
        <v>144</v>
      </c>
      <c r="J47" s="10" t="s">
        <v>22</v>
      </c>
      <c r="K47" s="10">
        <v>60</v>
      </c>
      <c r="L47" s="20">
        <v>195</v>
      </c>
      <c r="M47" s="21"/>
      <c r="N47" s="21">
        <f t="shared" si="0"/>
        <v>0</v>
      </c>
    </row>
    <row r="48" s="4" customFormat="1" ht="100" customHeight="1" spans="1:14">
      <c r="A48" s="10">
        <v>45</v>
      </c>
      <c r="B48" s="10" t="s">
        <v>114</v>
      </c>
      <c r="C48" s="10" t="s">
        <v>16</v>
      </c>
      <c r="D48" s="10" t="s">
        <v>141</v>
      </c>
      <c r="E48" s="11" t="s">
        <v>145</v>
      </c>
      <c r="F48" s="11" t="s">
        <v>19</v>
      </c>
      <c r="G48" s="11" t="str">
        <f>_xlfn.DISPIMG("ID_7EC157A047124E6C85169B7B7D9F0077",1)</f>
        <v>=DISPIMG("ID_7EC157A047124E6C85169B7B7D9F0077",1)</v>
      </c>
      <c r="H48" s="10" t="s">
        <v>143</v>
      </c>
      <c r="I48" s="10" t="s">
        <v>144</v>
      </c>
      <c r="J48" s="10" t="s">
        <v>22</v>
      </c>
      <c r="K48" s="10">
        <v>60</v>
      </c>
      <c r="L48" s="20">
        <v>180</v>
      </c>
      <c r="M48" s="21"/>
      <c r="N48" s="21">
        <f t="shared" si="0"/>
        <v>0</v>
      </c>
    </row>
    <row r="49" s="4" customFormat="1" ht="100" customHeight="1" spans="1:14">
      <c r="A49" s="10">
        <v>46</v>
      </c>
      <c r="B49" s="10" t="s">
        <v>114</v>
      </c>
      <c r="C49" s="10" t="s">
        <v>16</v>
      </c>
      <c r="D49" s="10" t="s">
        <v>141</v>
      </c>
      <c r="E49" s="11" t="s">
        <v>146</v>
      </c>
      <c r="F49" s="11" t="s">
        <v>19</v>
      </c>
      <c r="G49" s="11" t="str">
        <f>_xlfn.DISPIMG("ID_7EC157A047124E6C85169B7B7D9F0077",1)</f>
        <v>=DISPIMG("ID_7EC157A047124E6C85169B7B7D9F0077",1)</v>
      </c>
      <c r="H49" s="10" t="s">
        <v>147</v>
      </c>
      <c r="I49" s="10" t="s">
        <v>144</v>
      </c>
      <c r="J49" s="10" t="s">
        <v>22</v>
      </c>
      <c r="K49" s="10">
        <v>60</v>
      </c>
      <c r="L49" s="20">
        <v>175</v>
      </c>
      <c r="M49" s="21"/>
      <c r="N49" s="21">
        <f t="shared" si="0"/>
        <v>0</v>
      </c>
    </row>
    <row r="50" s="4" customFormat="1" ht="100" customHeight="1" spans="1:14">
      <c r="A50" s="10">
        <v>47</v>
      </c>
      <c r="B50" s="10" t="s">
        <v>114</v>
      </c>
      <c r="C50" s="10" t="s">
        <v>16</v>
      </c>
      <c r="D50" s="11" t="s">
        <v>148</v>
      </c>
      <c r="E50" s="11" t="s">
        <v>149</v>
      </c>
      <c r="F50" s="11" t="s">
        <v>19</v>
      </c>
      <c r="G50" s="11" t="str">
        <f>_xlfn.DISPIMG("ID_636367C4C4424927AD9C0302B10DB634",1)</f>
        <v>=DISPIMG("ID_636367C4C4424927AD9C0302B10DB634",1)</v>
      </c>
      <c r="H50" s="10" t="s">
        <v>150</v>
      </c>
      <c r="I50" s="10" t="s">
        <v>151</v>
      </c>
      <c r="J50" s="10" t="s">
        <v>22</v>
      </c>
      <c r="K50" s="10">
        <v>60</v>
      </c>
      <c r="L50" s="20">
        <v>350</v>
      </c>
      <c r="M50" s="21"/>
      <c r="N50" s="21">
        <f t="shared" si="0"/>
        <v>0</v>
      </c>
    </row>
    <row r="51" s="4" customFormat="1" ht="100" customHeight="1" spans="1:14">
      <c r="A51" s="10">
        <v>48</v>
      </c>
      <c r="B51" s="10" t="s">
        <v>114</v>
      </c>
      <c r="C51" s="10" t="s">
        <v>16</v>
      </c>
      <c r="D51" s="11" t="s">
        <v>152</v>
      </c>
      <c r="E51" s="11" t="s">
        <v>153</v>
      </c>
      <c r="F51" s="11" t="s">
        <v>19</v>
      </c>
      <c r="G51" s="11" t="str">
        <f>_xlfn.DISPIMG("ID_D3911F3D46B740F8ACDE97A540C9DE07",1)</f>
        <v>=DISPIMG("ID_D3911F3D46B740F8ACDE97A540C9DE07",1)</v>
      </c>
      <c r="H51" s="10" t="s">
        <v>154</v>
      </c>
      <c r="I51" s="10" t="s">
        <v>155</v>
      </c>
      <c r="J51" s="10" t="s">
        <v>22</v>
      </c>
      <c r="K51" s="10">
        <v>60</v>
      </c>
      <c r="L51" s="20">
        <v>70</v>
      </c>
      <c r="M51" s="21"/>
      <c r="N51" s="21">
        <f t="shared" si="0"/>
        <v>0</v>
      </c>
    </row>
    <row r="52" s="4" customFormat="1" ht="100" customHeight="1" spans="1:14">
      <c r="A52" s="10">
        <v>49</v>
      </c>
      <c r="B52" s="10" t="s">
        <v>114</v>
      </c>
      <c r="C52" s="10" t="s">
        <v>16</v>
      </c>
      <c r="D52" s="11" t="s">
        <v>152</v>
      </c>
      <c r="E52" s="11" t="s">
        <v>156</v>
      </c>
      <c r="F52" s="11" t="s">
        <v>19</v>
      </c>
      <c r="G52" s="11" t="str">
        <f>_xlfn.DISPIMG("ID_B9798DDA3E1244E78AAA70C0ECECF4C5",1)</f>
        <v>=DISPIMG("ID_B9798DDA3E1244E78AAA70C0ECECF4C5",1)</v>
      </c>
      <c r="H52" s="10" t="s">
        <v>154</v>
      </c>
      <c r="I52" s="10" t="s">
        <v>157</v>
      </c>
      <c r="J52" s="10" t="s">
        <v>22</v>
      </c>
      <c r="K52" s="10">
        <v>60</v>
      </c>
      <c r="L52" s="20">
        <v>85</v>
      </c>
      <c r="M52" s="21"/>
      <c r="N52" s="21">
        <f t="shared" si="0"/>
        <v>0</v>
      </c>
    </row>
    <row r="53" s="4" customFormat="1" ht="100" customHeight="1" spans="1:14">
      <c r="A53" s="10">
        <v>50</v>
      </c>
      <c r="B53" s="10" t="s">
        <v>114</v>
      </c>
      <c r="C53" s="10" t="s">
        <v>16</v>
      </c>
      <c r="D53" s="11" t="s">
        <v>152</v>
      </c>
      <c r="E53" s="11" t="s">
        <v>158</v>
      </c>
      <c r="F53" s="11" t="s">
        <v>19</v>
      </c>
      <c r="G53" s="11" t="str">
        <f>_xlfn.DISPIMG("ID_283C2512FD9943EEABACEE0073BA1BD8",1)</f>
        <v>=DISPIMG("ID_283C2512FD9943EEABACEE0073BA1BD8",1)</v>
      </c>
      <c r="H53" s="10" t="s">
        <v>154</v>
      </c>
      <c r="I53" s="10" t="s">
        <v>159</v>
      </c>
      <c r="J53" s="10" t="s">
        <v>22</v>
      </c>
      <c r="K53" s="10">
        <v>60</v>
      </c>
      <c r="L53" s="20">
        <v>168</v>
      </c>
      <c r="M53" s="21"/>
      <c r="N53" s="21">
        <f t="shared" si="0"/>
        <v>0</v>
      </c>
    </row>
    <row r="54" s="4" customFormat="1" ht="100" customHeight="1" spans="1:14">
      <c r="A54" s="10">
        <v>51</v>
      </c>
      <c r="B54" s="10" t="s">
        <v>114</v>
      </c>
      <c r="C54" s="10" t="s">
        <v>16</v>
      </c>
      <c r="D54" s="11" t="s">
        <v>160</v>
      </c>
      <c r="E54" s="11" t="s">
        <v>161</v>
      </c>
      <c r="F54" s="11" t="s">
        <v>19</v>
      </c>
      <c r="G54" s="11" t="str">
        <f>_xlfn.DISPIMG("ID_595C3CD197E840DAA3A31C3E0F869F17",1)</f>
        <v>=DISPIMG("ID_595C3CD197E840DAA3A31C3E0F869F17",1)</v>
      </c>
      <c r="H54" s="10" t="s">
        <v>162</v>
      </c>
      <c r="I54" s="10" t="s">
        <v>163</v>
      </c>
      <c r="J54" s="10" t="s">
        <v>22</v>
      </c>
      <c r="K54" s="10">
        <v>60</v>
      </c>
      <c r="L54" s="20">
        <v>240</v>
      </c>
      <c r="M54" s="21"/>
      <c r="N54" s="21">
        <f t="shared" si="0"/>
        <v>0</v>
      </c>
    </row>
    <row r="55" s="4" customFormat="1" ht="100" customHeight="1" spans="1:14">
      <c r="A55" s="10">
        <v>52</v>
      </c>
      <c r="B55" s="10" t="s">
        <v>114</v>
      </c>
      <c r="C55" s="10" t="s">
        <v>16</v>
      </c>
      <c r="D55" s="11" t="s">
        <v>164</v>
      </c>
      <c r="E55" s="11" t="s">
        <v>165</v>
      </c>
      <c r="F55" s="11" t="s">
        <v>19</v>
      </c>
      <c r="G55" s="11" t="str">
        <f>_xlfn.DISPIMG("ID_082E4231D3214AD18F613EEA3FC063CB",1)</f>
        <v>=DISPIMG("ID_082E4231D3214AD18F613EEA3FC063CB",1)</v>
      </c>
      <c r="H55" s="10" t="s">
        <v>166</v>
      </c>
      <c r="I55" s="10" t="s">
        <v>167</v>
      </c>
      <c r="J55" s="10" t="s">
        <v>22</v>
      </c>
      <c r="K55" s="10">
        <v>60</v>
      </c>
      <c r="L55" s="20">
        <v>249</v>
      </c>
      <c r="M55" s="21"/>
      <c r="N55" s="21">
        <f t="shared" si="0"/>
        <v>0</v>
      </c>
    </row>
    <row r="56" s="4" customFormat="1" ht="100" customHeight="1" spans="1:14">
      <c r="A56" s="10">
        <v>53</v>
      </c>
      <c r="B56" s="10" t="s">
        <v>114</v>
      </c>
      <c r="C56" s="10" t="s">
        <v>16</v>
      </c>
      <c r="D56" s="11" t="s">
        <v>164</v>
      </c>
      <c r="E56" s="11" t="s">
        <v>168</v>
      </c>
      <c r="F56" s="11" t="s">
        <v>19</v>
      </c>
      <c r="G56" s="11" t="str">
        <f>_xlfn.DISPIMG("ID_4809F8C8B89849D087B2037E6F7B9294",1)</f>
        <v>=DISPIMG("ID_4809F8C8B89849D087B2037E6F7B9294",1)</v>
      </c>
      <c r="H56" s="10" t="s">
        <v>169</v>
      </c>
      <c r="I56" s="10" t="s">
        <v>167</v>
      </c>
      <c r="J56" s="10" t="s">
        <v>22</v>
      </c>
      <c r="K56" s="10">
        <v>60</v>
      </c>
      <c r="L56" s="20">
        <v>249</v>
      </c>
      <c r="M56" s="21"/>
      <c r="N56" s="21">
        <f t="shared" si="0"/>
        <v>0</v>
      </c>
    </row>
    <row r="57" s="4" customFormat="1" ht="100" customHeight="1" spans="1:14">
      <c r="A57" s="10">
        <v>54</v>
      </c>
      <c r="B57" s="10" t="s">
        <v>114</v>
      </c>
      <c r="C57" s="10" t="s">
        <v>16</v>
      </c>
      <c r="D57" s="11" t="s">
        <v>164</v>
      </c>
      <c r="E57" s="11" t="s">
        <v>170</v>
      </c>
      <c r="F57" s="11" t="s">
        <v>19</v>
      </c>
      <c r="G57" s="11" t="str">
        <f>_xlfn.DISPIMG("ID_8413A963CE344040AB434E24A673A3BB",1)</f>
        <v>=DISPIMG("ID_8413A963CE344040AB434E24A673A3BB",1)</v>
      </c>
      <c r="H57" s="10" t="s">
        <v>171</v>
      </c>
      <c r="I57" s="10" t="s">
        <v>172</v>
      </c>
      <c r="J57" s="10" t="s">
        <v>22</v>
      </c>
      <c r="K57" s="10">
        <v>60</v>
      </c>
      <c r="L57" s="20">
        <v>225</v>
      </c>
      <c r="M57" s="21"/>
      <c r="N57" s="21">
        <f t="shared" si="0"/>
        <v>0</v>
      </c>
    </row>
    <row r="58" s="4" customFormat="1" ht="100" customHeight="1" spans="1:14">
      <c r="A58" s="10">
        <v>55</v>
      </c>
      <c r="B58" s="10" t="s">
        <v>114</v>
      </c>
      <c r="C58" s="10" t="s">
        <v>16</v>
      </c>
      <c r="D58" s="10" t="s">
        <v>173</v>
      </c>
      <c r="E58" s="11" t="s">
        <v>174</v>
      </c>
      <c r="F58" s="11" t="s">
        <v>19</v>
      </c>
      <c r="G58" s="11" t="str">
        <f>_xlfn.DISPIMG("ID_9BF6F62C453047C0B50894B359DC6345",1)</f>
        <v>=DISPIMG("ID_9BF6F62C453047C0B50894B359DC6345",1)</v>
      </c>
      <c r="H58" s="13" t="s">
        <v>175</v>
      </c>
      <c r="I58" s="10" t="s">
        <v>176</v>
      </c>
      <c r="J58" s="10" t="s">
        <v>112</v>
      </c>
      <c r="K58" s="10">
        <v>60</v>
      </c>
      <c r="L58" s="20">
        <v>60</v>
      </c>
      <c r="M58" s="21"/>
      <c r="N58" s="21">
        <f t="shared" si="0"/>
        <v>0</v>
      </c>
    </row>
    <row r="59" s="4" customFormat="1" ht="100" customHeight="1" spans="1:14">
      <c r="A59" s="10">
        <v>56</v>
      </c>
      <c r="B59" s="10" t="s">
        <v>114</v>
      </c>
      <c r="C59" s="10" t="s">
        <v>16</v>
      </c>
      <c r="D59" s="10" t="s">
        <v>173</v>
      </c>
      <c r="E59" s="11" t="s">
        <v>177</v>
      </c>
      <c r="F59" s="11" t="s">
        <v>19</v>
      </c>
      <c r="G59" s="11" t="str">
        <f>_xlfn.DISPIMG("ID_C1FE778DEFCC416B94CB4F724D209250",1)</f>
        <v>=DISPIMG("ID_C1FE778DEFCC416B94CB4F724D209250",1)</v>
      </c>
      <c r="H59" s="13" t="s">
        <v>178</v>
      </c>
      <c r="I59" s="10" t="s">
        <v>176</v>
      </c>
      <c r="J59" s="10" t="s">
        <v>112</v>
      </c>
      <c r="K59" s="10">
        <v>60</v>
      </c>
      <c r="L59" s="20">
        <v>25</v>
      </c>
      <c r="M59" s="21"/>
      <c r="N59" s="21">
        <f t="shared" si="0"/>
        <v>0</v>
      </c>
    </row>
    <row r="60" s="4" customFormat="1" ht="100" customHeight="1" spans="1:14">
      <c r="A60" s="10">
        <v>57</v>
      </c>
      <c r="B60" s="10" t="s">
        <v>179</v>
      </c>
      <c r="C60" s="10" t="s">
        <v>16</v>
      </c>
      <c r="D60" s="10" t="s">
        <v>180</v>
      </c>
      <c r="E60" s="11" t="s">
        <v>181</v>
      </c>
      <c r="F60" s="11" t="s">
        <v>19</v>
      </c>
      <c r="G60" s="11" t="str">
        <f>_xlfn.DISPIMG("ID_C68750C1D9C043E1808C10BB7A4BA51A",1)</f>
        <v>=DISPIMG("ID_C68750C1D9C043E1808C10BB7A4BA51A",1)</v>
      </c>
      <c r="H60" s="13" t="s">
        <v>182</v>
      </c>
      <c r="I60" s="10" t="s">
        <v>183</v>
      </c>
      <c r="J60" s="10" t="s">
        <v>22</v>
      </c>
      <c r="K60" s="10">
        <v>60</v>
      </c>
      <c r="L60" s="20">
        <v>372</v>
      </c>
      <c r="M60" s="21"/>
      <c r="N60" s="21">
        <f t="shared" si="0"/>
        <v>0</v>
      </c>
    </row>
    <row r="61" s="4" customFormat="1" ht="100" customHeight="1" spans="1:14">
      <c r="A61" s="10">
        <v>58</v>
      </c>
      <c r="B61" s="10" t="s">
        <v>179</v>
      </c>
      <c r="C61" s="10" t="s">
        <v>16</v>
      </c>
      <c r="D61" s="10" t="s">
        <v>184</v>
      </c>
      <c r="E61" s="11" t="s">
        <v>185</v>
      </c>
      <c r="F61" s="11" t="s">
        <v>19</v>
      </c>
      <c r="G61" s="11" t="str">
        <f>_xlfn.DISPIMG("ID_B52D131703484037978E53570398C9EF",1)</f>
        <v>=DISPIMG("ID_B52D131703484037978E53570398C9EF",1)</v>
      </c>
      <c r="H61" s="13" t="s">
        <v>186</v>
      </c>
      <c r="I61" s="10" t="s">
        <v>187</v>
      </c>
      <c r="J61" s="10" t="s">
        <v>22</v>
      </c>
      <c r="K61" s="10">
        <v>60</v>
      </c>
      <c r="L61" s="20">
        <v>488</v>
      </c>
      <c r="M61" s="21"/>
      <c r="N61" s="21">
        <f t="shared" si="0"/>
        <v>0</v>
      </c>
    </row>
    <row r="62" s="4" customFormat="1" ht="100" customHeight="1" spans="1:14">
      <c r="A62" s="10">
        <v>59</v>
      </c>
      <c r="B62" s="10" t="s">
        <v>179</v>
      </c>
      <c r="C62" s="10" t="s">
        <v>16</v>
      </c>
      <c r="D62" s="10" t="s">
        <v>180</v>
      </c>
      <c r="E62" s="11" t="s">
        <v>188</v>
      </c>
      <c r="F62" s="11" t="s">
        <v>19</v>
      </c>
      <c r="G62" s="11" t="str">
        <f>_xlfn.DISPIMG("ID_A3591B248C9D4839806370EDE21D8685",1)</f>
        <v>=DISPIMG("ID_A3591B248C9D4839806370EDE21D8685",1)</v>
      </c>
      <c r="H62" s="13" t="s">
        <v>189</v>
      </c>
      <c r="I62" s="10" t="s">
        <v>183</v>
      </c>
      <c r="J62" s="10" t="s">
        <v>22</v>
      </c>
      <c r="K62" s="10">
        <v>60</v>
      </c>
      <c r="L62" s="20">
        <v>370</v>
      </c>
      <c r="M62" s="21"/>
      <c r="N62" s="21">
        <f t="shared" si="0"/>
        <v>0</v>
      </c>
    </row>
    <row r="63" s="4" customFormat="1" ht="100" customHeight="1" spans="1:14">
      <c r="A63" s="10">
        <v>60</v>
      </c>
      <c r="B63" s="10" t="s">
        <v>179</v>
      </c>
      <c r="C63" s="10" t="s">
        <v>16</v>
      </c>
      <c r="D63" s="10" t="s">
        <v>190</v>
      </c>
      <c r="E63" s="11" t="s">
        <v>191</v>
      </c>
      <c r="F63" s="11" t="s">
        <v>19</v>
      </c>
      <c r="G63" s="11" t="str">
        <f>_xlfn.DISPIMG("ID_B82AE644FEA146D59089B11963F038F6",1)</f>
        <v>=DISPIMG("ID_B82AE644FEA146D59089B11963F038F6",1)</v>
      </c>
      <c r="H63" s="13" t="s">
        <v>192</v>
      </c>
      <c r="I63" s="10" t="s">
        <v>193</v>
      </c>
      <c r="J63" s="10" t="s">
        <v>22</v>
      </c>
      <c r="K63" s="10">
        <v>60</v>
      </c>
      <c r="L63" s="20">
        <v>700</v>
      </c>
      <c r="M63" s="21"/>
      <c r="N63" s="21">
        <f t="shared" si="0"/>
        <v>0</v>
      </c>
    </row>
    <row r="64" s="4" customFormat="1" ht="100" customHeight="1" spans="1:14">
      <c r="A64" s="10">
        <v>61</v>
      </c>
      <c r="B64" s="10" t="s">
        <v>179</v>
      </c>
      <c r="C64" s="10" t="s">
        <v>16</v>
      </c>
      <c r="D64" s="10" t="s">
        <v>184</v>
      </c>
      <c r="E64" s="11" t="s">
        <v>194</v>
      </c>
      <c r="F64" s="11" t="s">
        <v>19</v>
      </c>
      <c r="G64" s="11" t="str">
        <f>_xlfn.DISPIMG("ID_5F1E833924B04DFEA54B9D1DEBFDEC5F",1)</f>
        <v>=DISPIMG("ID_5F1E833924B04DFEA54B9D1DEBFDEC5F",1)</v>
      </c>
      <c r="H64" s="13" t="s">
        <v>195</v>
      </c>
      <c r="I64" s="10" t="s">
        <v>187</v>
      </c>
      <c r="J64" s="10" t="s">
        <v>22</v>
      </c>
      <c r="K64" s="10">
        <v>60</v>
      </c>
      <c r="L64" s="20">
        <v>535</v>
      </c>
      <c r="M64" s="21"/>
      <c r="N64" s="21">
        <f t="shared" si="0"/>
        <v>0</v>
      </c>
    </row>
    <row r="65" s="4" customFormat="1" ht="100" customHeight="1" spans="1:14">
      <c r="A65" s="10">
        <v>62</v>
      </c>
      <c r="B65" s="10" t="s">
        <v>179</v>
      </c>
      <c r="C65" s="10" t="s">
        <v>16</v>
      </c>
      <c r="D65" s="10" t="s">
        <v>180</v>
      </c>
      <c r="E65" s="22" t="s">
        <v>196</v>
      </c>
      <c r="F65" s="11" t="s">
        <v>19</v>
      </c>
      <c r="G65" s="23" t="str">
        <f>_xlfn.DISPIMG("ID_915BDD97BAB742D0838043E0957D47E3",1)</f>
        <v>=DISPIMG("ID_915BDD97BAB742D0838043E0957D47E3",1)</v>
      </c>
      <c r="H65" s="13" t="s">
        <v>197</v>
      </c>
      <c r="I65" s="10" t="s">
        <v>187</v>
      </c>
      <c r="J65" s="10" t="s">
        <v>22</v>
      </c>
      <c r="K65" s="10">
        <v>60</v>
      </c>
      <c r="L65" s="20">
        <v>485</v>
      </c>
      <c r="M65" s="21"/>
      <c r="N65" s="21">
        <f t="shared" si="0"/>
        <v>0</v>
      </c>
    </row>
    <row r="66" s="4" customFormat="1" ht="100" customHeight="1" spans="1:14">
      <c r="A66" s="10">
        <v>63</v>
      </c>
      <c r="B66" s="10" t="s">
        <v>179</v>
      </c>
      <c r="C66" s="10" t="s">
        <v>16</v>
      </c>
      <c r="D66" s="10" t="s">
        <v>180</v>
      </c>
      <c r="E66" s="12" t="s">
        <v>198</v>
      </c>
      <c r="F66" s="11" t="s">
        <v>19</v>
      </c>
      <c r="G66" s="12" t="str">
        <f>_xlfn.DISPIMG("ID_2BC18C545091465D937F534A929E2F8F",1)</f>
        <v>=DISPIMG("ID_2BC18C545091465D937F534A929E2F8F",1)</v>
      </c>
      <c r="H66" s="13" t="s">
        <v>199</v>
      </c>
      <c r="I66" s="10" t="s">
        <v>187</v>
      </c>
      <c r="J66" s="10" t="s">
        <v>22</v>
      </c>
      <c r="K66" s="10">
        <v>60</v>
      </c>
      <c r="L66" s="20">
        <v>570</v>
      </c>
      <c r="M66" s="21"/>
      <c r="N66" s="21">
        <f t="shared" si="0"/>
        <v>0</v>
      </c>
    </row>
    <row r="67" s="4" customFormat="1" ht="100" customHeight="1" spans="1:14">
      <c r="A67" s="10">
        <v>64</v>
      </c>
      <c r="B67" s="10" t="s">
        <v>179</v>
      </c>
      <c r="C67" s="10" t="s">
        <v>16</v>
      </c>
      <c r="D67" s="10" t="s">
        <v>200</v>
      </c>
      <c r="E67" s="11" t="s">
        <v>201</v>
      </c>
      <c r="F67" s="11" t="s">
        <v>19</v>
      </c>
      <c r="G67" s="11" t="str">
        <f>_xlfn.DISPIMG("ID_DC0DACEF6537495EAC226594A6322BED",1)</f>
        <v>=DISPIMG("ID_DC0DACEF6537495EAC226594A6322BED",1)</v>
      </c>
      <c r="H67" s="13" t="s">
        <v>202</v>
      </c>
      <c r="I67" s="10" t="s">
        <v>203</v>
      </c>
      <c r="J67" s="10" t="s">
        <v>22</v>
      </c>
      <c r="K67" s="10">
        <v>60</v>
      </c>
      <c r="L67" s="20">
        <v>405</v>
      </c>
      <c r="M67" s="21"/>
      <c r="N67" s="21">
        <f t="shared" si="0"/>
        <v>0</v>
      </c>
    </row>
    <row r="68" s="4" customFormat="1" ht="100" customHeight="1" spans="1:14">
      <c r="A68" s="10">
        <v>65</v>
      </c>
      <c r="B68" s="10" t="s">
        <v>179</v>
      </c>
      <c r="C68" s="10" t="s">
        <v>16</v>
      </c>
      <c r="D68" s="10" t="s">
        <v>204</v>
      </c>
      <c r="E68" s="10" t="s">
        <v>205</v>
      </c>
      <c r="F68" s="11" t="s">
        <v>19</v>
      </c>
      <c r="G68" s="11" t="str">
        <f>_xlfn.DISPIMG("ID_4A443BC639A044D685ACB184151890DB",1)</f>
        <v>=DISPIMG("ID_4A443BC639A044D685ACB184151890DB",1)</v>
      </c>
      <c r="H68" s="10" t="s">
        <v>206</v>
      </c>
      <c r="I68" s="10" t="s">
        <v>207</v>
      </c>
      <c r="J68" s="10" t="s">
        <v>112</v>
      </c>
      <c r="K68" s="10">
        <v>60</v>
      </c>
      <c r="L68" s="20">
        <v>45</v>
      </c>
      <c r="M68" s="21"/>
      <c r="N68" s="21">
        <f t="shared" si="0"/>
        <v>0</v>
      </c>
    </row>
    <row r="69" s="4" customFormat="1" ht="100" customHeight="1" spans="1:14">
      <c r="A69" s="10">
        <v>66</v>
      </c>
      <c r="B69" s="10" t="s">
        <v>179</v>
      </c>
      <c r="C69" s="10" t="s">
        <v>16</v>
      </c>
      <c r="D69" s="10" t="s">
        <v>208</v>
      </c>
      <c r="E69" s="10" t="s">
        <v>209</v>
      </c>
      <c r="F69" s="11" t="s">
        <v>19</v>
      </c>
      <c r="G69" s="11" t="str">
        <f>_xlfn.DISPIMG("ID_BE432D4A640B4368992C8C362A04FDD2",1)</f>
        <v>=DISPIMG("ID_BE432D4A640B4368992C8C362A04FDD2",1)</v>
      </c>
      <c r="H69" s="10" t="s">
        <v>210</v>
      </c>
      <c r="I69" s="10" t="s">
        <v>163</v>
      </c>
      <c r="J69" s="10" t="s">
        <v>22</v>
      </c>
      <c r="K69" s="10">
        <v>60</v>
      </c>
      <c r="L69" s="20">
        <v>186</v>
      </c>
      <c r="M69" s="21"/>
      <c r="N69" s="21">
        <f t="shared" ref="N69:N132" si="1">K69*M69</f>
        <v>0</v>
      </c>
    </row>
    <row r="70" s="4" customFormat="1" ht="100" customHeight="1" spans="1:14">
      <c r="A70" s="10">
        <v>67</v>
      </c>
      <c r="B70" s="10" t="s">
        <v>179</v>
      </c>
      <c r="C70" s="10" t="s">
        <v>16</v>
      </c>
      <c r="D70" s="11" t="s">
        <v>211</v>
      </c>
      <c r="E70" s="11" t="s">
        <v>212</v>
      </c>
      <c r="F70" s="11" t="s">
        <v>19</v>
      </c>
      <c r="G70" s="11" t="str">
        <f>_xlfn.DISPIMG("ID_9558C6C6C43F4BFD8EB70EA6474E4F9E",1)</f>
        <v>=DISPIMG("ID_9558C6C6C43F4BFD8EB70EA6474E4F9E",1)</v>
      </c>
      <c r="H70" s="13" t="s">
        <v>213</v>
      </c>
      <c r="I70" s="10" t="s">
        <v>214</v>
      </c>
      <c r="J70" s="10" t="s">
        <v>22</v>
      </c>
      <c r="K70" s="10">
        <v>60</v>
      </c>
      <c r="L70" s="20">
        <v>710</v>
      </c>
      <c r="M70" s="21"/>
      <c r="N70" s="21">
        <f t="shared" si="1"/>
        <v>0</v>
      </c>
    </row>
    <row r="71" s="4" customFormat="1" ht="100" customHeight="1" spans="1:14">
      <c r="A71" s="10">
        <v>68</v>
      </c>
      <c r="B71" s="10" t="s">
        <v>215</v>
      </c>
      <c r="C71" s="10" t="s">
        <v>16</v>
      </c>
      <c r="D71" s="10" t="s">
        <v>216</v>
      </c>
      <c r="E71" s="11" t="s">
        <v>217</v>
      </c>
      <c r="F71" s="11" t="s">
        <v>19</v>
      </c>
      <c r="G71" s="11" t="str">
        <f>_xlfn.DISPIMG("ID_20134109F46B4167BB0CF0901691CD3C",1)</f>
        <v>=DISPIMG("ID_20134109F46B4167BB0CF0901691CD3C",1)</v>
      </c>
      <c r="H71" s="13" t="s">
        <v>218</v>
      </c>
      <c r="I71" s="10" t="s">
        <v>219</v>
      </c>
      <c r="J71" s="10" t="s">
        <v>22</v>
      </c>
      <c r="K71" s="10">
        <v>60</v>
      </c>
      <c r="L71" s="20">
        <v>274</v>
      </c>
      <c r="M71" s="21"/>
      <c r="N71" s="21">
        <f t="shared" si="1"/>
        <v>0</v>
      </c>
    </row>
    <row r="72" s="4" customFormat="1" ht="100" customHeight="1" spans="1:14">
      <c r="A72" s="10">
        <v>69</v>
      </c>
      <c r="B72" s="10" t="s">
        <v>215</v>
      </c>
      <c r="C72" s="10" t="s">
        <v>16</v>
      </c>
      <c r="D72" s="10" t="s">
        <v>216</v>
      </c>
      <c r="E72" s="12" t="s">
        <v>220</v>
      </c>
      <c r="F72" s="11" t="s">
        <v>19</v>
      </c>
      <c r="G72" s="12" t="str">
        <f>_xlfn.DISPIMG("ID_CDFF1DA4D4AC497EA5A205ABC10AC011",1)</f>
        <v>=DISPIMG("ID_CDFF1DA4D4AC497EA5A205ABC10AC011",1)</v>
      </c>
      <c r="H72" s="13" t="s">
        <v>221</v>
      </c>
      <c r="I72" s="10" t="s">
        <v>219</v>
      </c>
      <c r="J72" s="10" t="s">
        <v>22</v>
      </c>
      <c r="K72" s="10">
        <v>60</v>
      </c>
      <c r="L72" s="20">
        <v>328</v>
      </c>
      <c r="M72" s="21"/>
      <c r="N72" s="21">
        <f t="shared" si="1"/>
        <v>0</v>
      </c>
    </row>
    <row r="73" s="4" customFormat="1" ht="100" customHeight="1" spans="1:14">
      <c r="A73" s="10">
        <v>70</v>
      </c>
      <c r="B73" s="10" t="s">
        <v>215</v>
      </c>
      <c r="C73" s="10" t="s">
        <v>16</v>
      </c>
      <c r="D73" s="10" t="s">
        <v>216</v>
      </c>
      <c r="E73" s="11" t="s">
        <v>222</v>
      </c>
      <c r="F73" s="11" t="s">
        <v>19</v>
      </c>
      <c r="G73" s="11" t="str">
        <f>_xlfn.DISPIMG("ID_ABF42A14C3A341DA8C80D879FDC98AA9",1)</f>
        <v>=DISPIMG("ID_ABF42A14C3A341DA8C80D879FDC98AA9",1)</v>
      </c>
      <c r="H73" s="13" t="s">
        <v>223</v>
      </c>
      <c r="I73" s="10" t="s">
        <v>219</v>
      </c>
      <c r="J73" s="10" t="s">
        <v>22</v>
      </c>
      <c r="K73" s="10">
        <v>60</v>
      </c>
      <c r="L73" s="20">
        <v>313</v>
      </c>
      <c r="M73" s="21"/>
      <c r="N73" s="21">
        <f t="shared" si="1"/>
        <v>0</v>
      </c>
    </row>
    <row r="74" s="4" customFormat="1" ht="100" customHeight="1" spans="1:14">
      <c r="A74" s="10">
        <v>71</v>
      </c>
      <c r="B74" s="10" t="s">
        <v>215</v>
      </c>
      <c r="C74" s="10" t="s">
        <v>16</v>
      </c>
      <c r="D74" s="11" t="s">
        <v>216</v>
      </c>
      <c r="E74" s="11" t="s">
        <v>224</v>
      </c>
      <c r="F74" s="11" t="s">
        <v>19</v>
      </c>
      <c r="G74" s="11" t="str">
        <f>_xlfn.DISPIMG("ID_5E08086C52E64F3D969C861DABCD88D7",1)</f>
        <v>=DISPIMG("ID_5E08086C52E64F3D969C861DABCD88D7",1)</v>
      </c>
      <c r="H74" s="13" t="s">
        <v>225</v>
      </c>
      <c r="I74" s="10" t="s">
        <v>219</v>
      </c>
      <c r="J74" s="10" t="s">
        <v>22</v>
      </c>
      <c r="K74" s="10">
        <v>60</v>
      </c>
      <c r="L74" s="20">
        <v>176</v>
      </c>
      <c r="M74" s="21"/>
      <c r="N74" s="21">
        <f t="shared" si="1"/>
        <v>0</v>
      </c>
    </row>
    <row r="75" s="4" customFormat="1" ht="100" customHeight="1" spans="1:14">
      <c r="A75" s="10">
        <v>72</v>
      </c>
      <c r="B75" s="10" t="s">
        <v>215</v>
      </c>
      <c r="C75" s="10" t="s">
        <v>16</v>
      </c>
      <c r="D75" s="10" t="s">
        <v>216</v>
      </c>
      <c r="E75" s="10" t="s">
        <v>226</v>
      </c>
      <c r="F75" s="11" t="s">
        <v>19</v>
      </c>
      <c r="G75" s="10" t="str">
        <f>_xlfn.DISPIMG("ID_6A0C3AC6E35D494297F4E5A107F01E59",1)</f>
        <v>=DISPIMG("ID_6A0C3AC6E35D494297F4E5A107F01E59",1)</v>
      </c>
      <c r="H75" s="13" t="s">
        <v>227</v>
      </c>
      <c r="I75" s="10" t="s">
        <v>219</v>
      </c>
      <c r="J75" s="10" t="s">
        <v>22</v>
      </c>
      <c r="K75" s="10">
        <v>60</v>
      </c>
      <c r="L75" s="20">
        <v>205</v>
      </c>
      <c r="M75" s="21"/>
      <c r="N75" s="21">
        <f t="shared" si="1"/>
        <v>0</v>
      </c>
    </row>
    <row r="76" s="4" customFormat="1" ht="100" customHeight="1" spans="1:14">
      <c r="A76" s="10">
        <v>73</v>
      </c>
      <c r="B76" s="10" t="s">
        <v>215</v>
      </c>
      <c r="C76" s="10" t="s">
        <v>16</v>
      </c>
      <c r="D76" s="11" t="s">
        <v>228</v>
      </c>
      <c r="E76" s="11" t="s">
        <v>229</v>
      </c>
      <c r="F76" s="11" t="s">
        <v>19</v>
      </c>
      <c r="G76" s="11" t="str">
        <f>_xlfn.DISPIMG("ID_98D4D35389F6484A85E0425513EDAC9D",1)</f>
        <v>=DISPIMG("ID_98D4D35389F6484A85E0425513EDAC9D",1)</v>
      </c>
      <c r="H76" s="13" t="s">
        <v>230</v>
      </c>
      <c r="I76" s="10" t="s">
        <v>219</v>
      </c>
      <c r="J76" s="10" t="s">
        <v>22</v>
      </c>
      <c r="K76" s="10">
        <v>60</v>
      </c>
      <c r="L76" s="20">
        <v>156</v>
      </c>
      <c r="M76" s="21"/>
      <c r="N76" s="21">
        <f t="shared" si="1"/>
        <v>0</v>
      </c>
    </row>
    <row r="77" s="4" customFormat="1" ht="100" customHeight="1" spans="1:14">
      <c r="A77" s="10">
        <v>74</v>
      </c>
      <c r="B77" s="10" t="s">
        <v>215</v>
      </c>
      <c r="C77" s="10" t="s">
        <v>16</v>
      </c>
      <c r="D77" s="11" t="s">
        <v>216</v>
      </c>
      <c r="E77" s="11" t="s">
        <v>231</v>
      </c>
      <c r="F77" s="11" t="s">
        <v>19</v>
      </c>
      <c r="G77" s="11" t="str">
        <f>_xlfn.DISPIMG("ID_9010C1A2847E49A4B9C43667D09D31CC",1)</f>
        <v>=DISPIMG("ID_9010C1A2847E49A4B9C43667D09D31CC",1)</v>
      </c>
      <c r="H77" s="13" t="s">
        <v>225</v>
      </c>
      <c r="I77" s="10" t="s">
        <v>219</v>
      </c>
      <c r="J77" s="10" t="s">
        <v>22</v>
      </c>
      <c r="K77" s="10">
        <v>60</v>
      </c>
      <c r="L77" s="20">
        <v>177</v>
      </c>
      <c r="M77" s="21"/>
      <c r="N77" s="21">
        <f t="shared" si="1"/>
        <v>0</v>
      </c>
    </row>
    <row r="78" s="4" customFormat="1" ht="100" customHeight="1" spans="1:14">
      <c r="A78" s="10">
        <v>75</v>
      </c>
      <c r="B78" s="10" t="s">
        <v>215</v>
      </c>
      <c r="C78" s="10" t="s">
        <v>16</v>
      </c>
      <c r="D78" s="11" t="s">
        <v>232</v>
      </c>
      <c r="E78" s="11" t="s">
        <v>233</v>
      </c>
      <c r="F78" s="11" t="s">
        <v>19</v>
      </c>
      <c r="G78" s="11" t="str">
        <f>_xlfn.DISPIMG("ID_13B7AEC9C57842C2AB6BB7662FEBB46D",1)</f>
        <v>=DISPIMG("ID_13B7AEC9C57842C2AB6BB7662FEBB46D",1)</v>
      </c>
      <c r="H78" s="13" t="s">
        <v>234</v>
      </c>
      <c r="I78" s="10" t="s">
        <v>219</v>
      </c>
      <c r="J78" s="10" t="s">
        <v>22</v>
      </c>
      <c r="K78" s="10">
        <v>60</v>
      </c>
      <c r="L78" s="20">
        <v>357</v>
      </c>
      <c r="M78" s="21"/>
      <c r="N78" s="21">
        <f t="shared" si="1"/>
        <v>0</v>
      </c>
    </row>
    <row r="79" s="4" customFormat="1" ht="100" customHeight="1" spans="1:14">
      <c r="A79" s="10">
        <v>76</v>
      </c>
      <c r="B79" s="10" t="s">
        <v>215</v>
      </c>
      <c r="C79" s="10" t="s">
        <v>16</v>
      </c>
      <c r="D79" s="11" t="s">
        <v>232</v>
      </c>
      <c r="E79" s="11" t="s">
        <v>235</v>
      </c>
      <c r="F79" s="11" t="s">
        <v>19</v>
      </c>
      <c r="G79" s="11" t="str">
        <f>_xlfn.DISPIMG("ID_83A73A684E9340DB83EFF7ECF83E9FE5",1)</f>
        <v>=DISPIMG("ID_83A73A684E9340DB83EFF7ECF83E9FE5",1)</v>
      </c>
      <c r="H79" s="13" t="s">
        <v>236</v>
      </c>
      <c r="I79" s="10" t="s">
        <v>219</v>
      </c>
      <c r="J79" s="10" t="s">
        <v>22</v>
      </c>
      <c r="K79" s="10">
        <v>60</v>
      </c>
      <c r="L79" s="20">
        <v>255</v>
      </c>
      <c r="M79" s="21"/>
      <c r="N79" s="21">
        <f t="shared" si="1"/>
        <v>0</v>
      </c>
    </row>
    <row r="80" s="4" customFormat="1" ht="100" customHeight="1" spans="1:14">
      <c r="A80" s="10">
        <v>77</v>
      </c>
      <c r="B80" s="10" t="s">
        <v>215</v>
      </c>
      <c r="C80" s="10" t="s">
        <v>16</v>
      </c>
      <c r="D80" s="11" t="s">
        <v>232</v>
      </c>
      <c r="E80" s="11" t="s">
        <v>237</v>
      </c>
      <c r="F80" s="11" t="s">
        <v>19</v>
      </c>
      <c r="G80" s="11" t="str">
        <f>_xlfn.DISPIMG("ID_420EA8E85C2F440AA7F68515066DCEAE",1)</f>
        <v>=DISPIMG("ID_420EA8E85C2F440AA7F68515066DCEAE",1)</v>
      </c>
      <c r="H80" s="13" t="s">
        <v>238</v>
      </c>
      <c r="I80" s="10" t="s">
        <v>219</v>
      </c>
      <c r="J80" s="10" t="s">
        <v>22</v>
      </c>
      <c r="K80" s="10">
        <v>60</v>
      </c>
      <c r="L80" s="20">
        <v>255</v>
      </c>
      <c r="M80" s="21"/>
      <c r="N80" s="21">
        <f t="shared" si="1"/>
        <v>0</v>
      </c>
    </row>
    <row r="81" s="4" customFormat="1" ht="100" customHeight="1" spans="1:14">
      <c r="A81" s="10">
        <v>78</v>
      </c>
      <c r="B81" s="10" t="s">
        <v>215</v>
      </c>
      <c r="C81" s="10" t="s">
        <v>16</v>
      </c>
      <c r="D81" s="11" t="s">
        <v>239</v>
      </c>
      <c r="E81" s="11" t="s">
        <v>240</v>
      </c>
      <c r="F81" s="11" t="s">
        <v>19</v>
      </c>
      <c r="G81" s="11" t="str">
        <f>_xlfn.DISPIMG("ID_55E0818143AC494E8CDE97851B6D7D28",1)</f>
        <v>=DISPIMG("ID_55E0818143AC494E8CDE97851B6D7D28",1)</v>
      </c>
      <c r="H81" s="13" t="s">
        <v>241</v>
      </c>
      <c r="I81" s="10" t="s">
        <v>219</v>
      </c>
      <c r="J81" s="10" t="s">
        <v>22</v>
      </c>
      <c r="K81" s="10">
        <v>60</v>
      </c>
      <c r="L81" s="20">
        <v>350</v>
      </c>
      <c r="M81" s="21"/>
      <c r="N81" s="21">
        <f t="shared" si="1"/>
        <v>0</v>
      </c>
    </row>
    <row r="82" s="4" customFormat="1" ht="100" customHeight="1" spans="1:14">
      <c r="A82" s="10">
        <v>79</v>
      </c>
      <c r="B82" s="10" t="s">
        <v>215</v>
      </c>
      <c r="C82" s="10" t="s">
        <v>16</v>
      </c>
      <c r="D82" s="10" t="s">
        <v>242</v>
      </c>
      <c r="E82" s="10" t="s">
        <v>243</v>
      </c>
      <c r="F82" s="11" t="s">
        <v>19</v>
      </c>
      <c r="G82" s="10" t="str">
        <f>_xlfn.DISPIMG("ID_076460F0E13C4F0982BE92CC014F534E",1)</f>
        <v>=DISPIMG("ID_076460F0E13C4F0982BE92CC014F534E",1)</v>
      </c>
      <c r="H82" s="13" t="s">
        <v>244</v>
      </c>
      <c r="I82" s="10" t="s">
        <v>219</v>
      </c>
      <c r="J82" s="10" t="s">
        <v>22</v>
      </c>
      <c r="K82" s="10">
        <v>60</v>
      </c>
      <c r="L82" s="20">
        <v>465</v>
      </c>
      <c r="M82" s="21"/>
      <c r="N82" s="21">
        <f t="shared" si="1"/>
        <v>0</v>
      </c>
    </row>
    <row r="83" s="4" customFormat="1" ht="100" customHeight="1" spans="1:14">
      <c r="A83" s="10">
        <v>80</v>
      </c>
      <c r="B83" s="10" t="s">
        <v>215</v>
      </c>
      <c r="C83" s="10" t="s">
        <v>16</v>
      </c>
      <c r="D83" s="11" t="s">
        <v>245</v>
      </c>
      <c r="E83" s="11" t="s">
        <v>246</v>
      </c>
      <c r="F83" s="11" t="s">
        <v>19</v>
      </c>
      <c r="G83" s="11" t="str">
        <f>_xlfn.DISPIMG("ID_F789C4AA8C42424C83EF0E5215FB50E5",1)</f>
        <v>=DISPIMG("ID_F789C4AA8C42424C83EF0E5215FB50E5",1)</v>
      </c>
      <c r="H83" s="13" t="s">
        <v>247</v>
      </c>
      <c r="I83" s="10" t="s">
        <v>219</v>
      </c>
      <c r="J83" s="10" t="s">
        <v>22</v>
      </c>
      <c r="K83" s="10">
        <v>60</v>
      </c>
      <c r="L83" s="20">
        <v>370</v>
      </c>
      <c r="M83" s="21"/>
      <c r="N83" s="21">
        <f t="shared" si="1"/>
        <v>0</v>
      </c>
    </row>
    <row r="84" s="4" customFormat="1" ht="100" customHeight="1" spans="1:14">
      <c r="A84" s="10">
        <v>81</v>
      </c>
      <c r="B84" s="10" t="s">
        <v>215</v>
      </c>
      <c r="C84" s="10" t="s">
        <v>16</v>
      </c>
      <c r="D84" s="10" t="s">
        <v>245</v>
      </c>
      <c r="E84" s="10" t="s">
        <v>248</v>
      </c>
      <c r="F84" s="11" t="s">
        <v>19</v>
      </c>
      <c r="G84" s="12" t="str">
        <f>_xlfn.DISPIMG("ID_CB4942C1D6CA4BC696F7EFF251DB7DB8",1)</f>
        <v>=DISPIMG("ID_CB4942C1D6CA4BC696F7EFF251DB7DB8",1)</v>
      </c>
      <c r="H84" s="13" t="s">
        <v>249</v>
      </c>
      <c r="I84" s="10" t="s">
        <v>219</v>
      </c>
      <c r="J84" s="10" t="s">
        <v>22</v>
      </c>
      <c r="K84" s="10">
        <v>60</v>
      </c>
      <c r="L84" s="20">
        <v>338</v>
      </c>
      <c r="M84" s="21"/>
      <c r="N84" s="21">
        <f t="shared" si="1"/>
        <v>0</v>
      </c>
    </row>
    <row r="85" s="4" customFormat="1" ht="100" customHeight="1" spans="1:14">
      <c r="A85" s="10">
        <v>82</v>
      </c>
      <c r="B85" s="10" t="s">
        <v>215</v>
      </c>
      <c r="C85" s="10" t="s">
        <v>16</v>
      </c>
      <c r="D85" s="10" t="s">
        <v>245</v>
      </c>
      <c r="E85" s="10" t="s">
        <v>250</v>
      </c>
      <c r="F85" s="11" t="s">
        <v>19</v>
      </c>
      <c r="G85" s="12" t="str">
        <f>_xlfn.DISPIMG("ID_A8C330C3D7094A72A45CD769ABC4D82B",1)</f>
        <v>=DISPIMG("ID_A8C330C3D7094A72A45CD769ABC4D82B",1)</v>
      </c>
      <c r="H85" s="13" t="s">
        <v>251</v>
      </c>
      <c r="I85" s="10" t="s">
        <v>219</v>
      </c>
      <c r="J85" s="10" t="s">
        <v>22</v>
      </c>
      <c r="K85" s="10">
        <v>60</v>
      </c>
      <c r="L85" s="20">
        <v>354</v>
      </c>
      <c r="M85" s="21"/>
      <c r="N85" s="21">
        <f t="shared" si="1"/>
        <v>0</v>
      </c>
    </row>
    <row r="86" s="4" customFormat="1" ht="100" customHeight="1" spans="1:14">
      <c r="A86" s="10">
        <v>83</v>
      </c>
      <c r="B86" s="10" t="s">
        <v>215</v>
      </c>
      <c r="C86" s="10" t="s">
        <v>16</v>
      </c>
      <c r="D86" s="11" t="s">
        <v>252</v>
      </c>
      <c r="E86" s="11" t="s">
        <v>253</v>
      </c>
      <c r="F86" s="11" t="s">
        <v>19</v>
      </c>
      <c r="G86" s="11" t="str">
        <f>_xlfn.DISPIMG("ID_395AB439E1D1423CA761F01B8257FBA7",1)</f>
        <v>=DISPIMG("ID_395AB439E1D1423CA761F01B8257FBA7",1)</v>
      </c>
      <c r="H86" s="13" t="s">
        <v>254</v>
      </c>
      <c r="I86" s="10" t="s">
        <v>219</v>
      </c>
      <c r="J86" s="10" t="s">
        <v>22</v>
      </c>
      <c r="K86" s="10">
        <v>60</v>
      </c>
      <c r="L86" s="20">
        <v>330</v>
      </c>
      <c r="M86" s="21"/>
      <c r="N86" s="21">
        <f t="shared" si="1"/>
        <v>0</v>
      </c>
    </row>
    <row r="87" s="4" customFormat="1" ht="100" customHeight="1" spans="1:14">
      <c r="A87" s="10">
        <v>84</v>
      </c>
      <c r="B87" s="10" t="s">
        <v>215</v>
      </c>
      <c r="C87" s="10" t="s">
        <v>16</v>
      </c>
      <c r="D87" s="11" t="s">
        <v>255</v>
      </c>
      <c r="E87" s="11" t="s">
        <v>256</v>
      </c>
      <c r="F87" s="11" t="s">
        <v>19</v>
      </c>
      <c r="G87" s="11" t="str">
        <f>_xlfn.DISPIMG("ID_DB3FA36AA6C640478172E66DBE4DD300",1)</f>
        <v>=DISPIMG("ID_DB3FA36AA6C640478172E66DBE4DD300",1)</v>
      </c>
      <c r="H87" s="13" t="s">
        <v>257</v>
      </c>
      <c r="I87" s="10" t="s">
        <v>214</v>
      </c>
      <c r="J87" s="10" t="s">
        <v>22</v>
      </c>
      <c r="K87" s="10">
        <v>60</v>
      </c>
      <c r="L87" s="20">
        <v>820</v>
      </c>
      <c r="M87" s="21"/>
      <c r="N87" s="21">
        <f t="shared" si="1"/>
        <v>0</v>
      </c>
    </row>
    <row r="88" s="4" customFormat="1" ht="100" customHeight="1" spans="1:14">
      <c r="A88" s="10">
        <v>85</v>
      </c>
      <c r="B88" s="10" t="s">
        <v>215</v>
      </c>
      <c r="C88" s="10" t="s">
        <v>16</v>
      </c>
      <c r="D88" s="11" t="s">
        <v>258</v>
      </c>
      <c r="E88" s="11" t="s">
        <v>259</v>
      </c>
      <c r="F88" s="11" t="s">
        <v>19</v>
      </c>
      <c r="G88" s="11" t="str">
        <f>_xlfn.DISPIMG("ID_C535561E1EC9498390AEA9ED2668AD4E",1)</f>
        <v>=DISPIMG("ID_C535561E1EC9498390AEA9ED2668AD4E",1)</v>
      </c>
      <c r="H88" s="10" t="s">
        <v>260</v>
      </c>
      <c r="I88" s="10" t="s">
        <v>261</v>
      </c>
      <c r="J88" s="10" t="s">
        <v>22</v>
      </c>
      <c r="K88" s="10">
        <v>60</v>
      </c>
      <c r="L88" s="20">
        <v>66</v>
      </c>
      <c r="M88" s="21"/>
      <c r="N88" s="21">
        <f t="shared" si="1"/>
        <v>0</v>
      </c>
    </row>
    <row r="89" s="4" customFormat="1" ht="100" customHeight="1" spans="1:14">
      <c r="A89" s="10">
        <v>86</v>
      </c>
      <c r="B89" s="10" t="s">
        <v>215</v>
      </c>
      <c r="C89" s="10" t="s">
        <v>16</v>
      </c>
      <c r="D89" s="11" t="s">
        <v>262</v>
      </c>
      <c r="E89" s="11" t="s">
        <v>263</v>
      </c>
      <c r="F89" s="11" t="s">
        <v>19</v>
      </c>
      <c r="G89" s="11" t="str">
        <f>_xlfn.DISPIMG("ID_9990BCA2F49245DF85862D493A580538",1)</f>
        <v>=DISPIMG("ID_9990BCA2F49245DF85862D493A580538",1)</v>
      </c>
      <c r="H89" s="10" t="s">
        <v>264</v>
      </c>
      <c r="I89" s="10" t="s">
        <v>261</v>
      </c>
      <c r="J89" s="10" t="s">
        <v>22</v>
      </c>
      <c r="K89" s="10">
        <v>60</v>
      </c>
      <c r="L89" s="20">
        <v>58</v>
      </c>
      <c r="M89" s="21"/>
      <c r="N89" s="21">
        <f t="shared" si="1"/>
        <v>0</v>
      </c>
    </row>
    <row r="90" s="4" customFormat="1" ht="100" customHeight="1" spans="1:14">
      <c r="A90" s="10">
        <v>87</v>
      </c>
      <c r="B90" s="10" t="s">
        <v>215</v>
      </c>
      <c r="C90" s="10" t="s">
        <v>16</v>
      </c>
      <c r="D90" s="11" t="s">
        <v>258</v>
      </c>
      <c r="E90" s="11" t="s">
        <v>265</v>
      </c>
      <c r="F90" s="11" t="s">
        <v>19</v>
      </c>
      <c r="G90" s="11" t="str">
        <f>_xlfn.DISPIMG("ID_7FEE429710634E28B9336B834085CC0B",1)</f>
        <v>=DISPIMG("ID_7FEE429710634E28B9336B834085CC0B",1)</v>
      </c>
      <c r="H90" s="10" t="s">
        <v>266</v>
      </c>
      <c r="I90" s="10" t="s">
        <v>261</v>
      </c>
      <c r="J90" s="10" t="s">
        <v>22</v>
      </c>
      <c r="K90" s="10">
        <v>60</v>
      </c>
      <c r="L90" s="20">
        <v>50</v>
      </c>
      <c r="M90" s="21"/>
      <c r="N90" s="21">
        <f t="shared" si="1"/>
        <v>0</v>
      </c>
    </row>
    <row r="91" s="4" customFormat="1" ht="100" customHeight="1" spans="1:14">
      <c r="A91" s="10">
        <v>88</v>
      </c>
      <c r="B91" s="10" t="s">
        <v>215</v>
      </c>
      <c r="C91" s="10" t="s">
        <v>16</v>
      </c>
      <c r="D91" s="11" t="s">
        <v>267</v>
      </c>
      <c r="E91" s="11" t="s">
        <v>268</v>
      </c>
      <c r="F91" s="11" t="s">
        <v>19</v>
      </c>
      <c r="G91" s="11" t="str">
        <f>_xlfn.DISPIMG("ID_0C16ACC833964E20B433F27213CAB563",1)</f>
        <v>=DISPIMG("ID_0C16ACC833964E20B433F27213CAB563",1)</v>
      </c>
      <c r="H91" s="10" t="s">
        <v>269</v>
      </c>
      <c r="I91" s="10" t="s">
        <v>261</v>
      </c>
      <c r="J91" s="10" t="s">
        <v>22</v>
      </c>
      <c r="K91" s="10">
        <v>60</v>
      </c>
      <c r="L91" s="20">
        <v>50</v>
      </c>
      <c r="M91" s="21"/>
      <c r="N91" s="21">
        <f t="shared" si="1"/>
        <v>0</v>
      </c>
    </row>
    <row r="92" s="4" customFormat="1" ht="100" customHeight="1" spans="1:14">
      <c r="A92" s="10">
        <v>89</v>
      </c>
      <c r="B92" s="10" t="s">
        <v>215</v>
      </c>
      <c r="C92" s="10" t="s">
        <v>16</v>
      </c>
      <c r="D92" s="11" t="s">
        <v>267</v>
      </c>
      <c r="E92" s="11" t="s">
        <v>270</v>
      </c>
      <c r="F92" s="11" t="s">
        <v>19</v>
      </c>
      <c r="G92" s="11" t="str">
        <f>_xlfn.DISPIMG("ID_E4AAE3D158984F98943DCCE2AB4A4AEF",1)</f>
        <v>=DISPIMG("ID_E4AAE3D158984F98943DCCE2AB4A4AEF",1)</v>
      </c>
      <c r="H92" s="10" t="s">
        <v>271</v>
      </c>
      <c r="I92" s="10" t="s">
        <v>261</v>
      </c>
      <c r="J92" s="10" t="s">
        <v>22</v>
      </c>
      <c r="K92" s="10">
        <v>60</v>
      </c>
      <c r="L92" s="20">
        <v>50</v>
      </c>
      <c r="M92" s="21"/>
      <c r="N92" s="21">
        <f t="shared" si="1"/>
        <v>0</v>
      </c>
    </row>
    <row r="93" s="4" customFormat="1" ht="100" customHeight="1" spans="1:14">
      <c r="A93" s="10">
        <v>90</v>
      </c>
      <c r="B93" s="10" t="s">
        <v>215</v>
      </c>
      <c r="C93" s="10" t="s">
        <v>16</v>
      </c>
      <c r="D93" s="11" t="s">
        <v>267</v>
      </c>
      <c r="E93" s="11" t="s">
        <v>272</v>
      </c>
      <c r="F93" s="11" t="s">
        <v>19</v>
      </c>
      <c r="G93" s="11" t="str">
        <f>_xlfn.DISPIMG("ID_56666758F8B043298EF4F4E351168B59",1)</f>
        <v>=DISPIMG("ID_56666758F8B043298EF4F4E351168B59",1)</v>
      </c>
      <c r="H93" s="10" t="s">
        <v>273</v>
      </c>
      <c r="I93" s="10" t="s">
        <v>261</v>
      </c>
      <c r="J93" s="10" t="s">
        <v>22</v>
      </c>
      <c r="K93" s="10">
        <v>60</v>
      </c>
      <c r="L93" s="20">
        <v>48</v>
      </c>
      <c r="M93" s="21"/>
      <c r="N93" s="21">
        <f t="shared" si="1"/>
        <v>0</v>
      </c>
    </row>
    <row r="94" s="4" customFormat="1" ht="100" customHeight="1" spans="1:14">
      <c r="A94" s="10">
        <v>91</v>
      </c>
      <c r="B94" s="10" t="s">
        <v>215</v>
      </c>
      <c r="C94" s="10" t="s">
        <v>16</v>
      </c>
      <c r="D94" s="11" t="s">
        <v>267</v>
      </c>
      <c r="E94" s="24" t="s">
        <v>274</v>
      </c>
      <c r="F94" s="11" t="s">
        <v>19</v>
      </c>
      <c r="G94" s="23" t="str">
        <f>_xlfn.DISPIMG("ID_5C1FEC13A2DD426BB634A59D0E5B4CAC",1)</f>
        <v>=DISPIMG("ID_5C1FEC13A2DD426BB634A59D0E5B4CAC",1)</v>
      </c>
      <c r="H94" s="10" t="s">
        <v>275</v>
      </c>
      <c r="I94" s="10" t="s">
        <v>261</v>
      </c>
      <c r="J94" s="10" t="s">
        <v>22</v>
      </c>
      <c r="K94" s="10">
        <v>60</v>
      </c>
      <c r="L94" s="20">
        <v>48</v>
      </c>
      <c r="M94" s="21"/>
      <c r="N94" s="21">
        <f t="shared" si="1"/>
        <v>0</v>
      </c>
    </row>
    <row r="95" s="4" customFormat="1" ht="100" customHeight="1" spans="1:14">
      <c r="A95" s="10">
        <v>92</v>
      </c>
      <c r="B95" s="10" t="s">
        <v>215</v>
      </c>
      <c r="C95" s="10" t="s">
        <v>16</v>
      </c>
      <c r="D95" s="11" t="s">
        <v>267</v>
      </c>
      <c r="E95" s="11" t="s">
        <v>276</v>
      </c>
      <c r="F95" s="11" t="s">
        <v>19</v>
      </c>
      <c r="G95" s="11" t="str">
        <f>_xlfn.DISPIMG("ID_DC372EFEAE414F8287B25E3B5D8E30F9",1)</f>
        <v>=DISPIMG("ID_DC372EFEAE414F8287B25E3B5D8E30F9",1)</v>
      </c>
      <c r="H95" s="10" t="s">
        <v>277</v>
      </c>
      <c r="I95" s="10" t="s">
        <v>261</v>
      </c>
      <c r="J95" s="10" t="s">
        <v>22</v>
      </c>
      <c r="K95" s="10">
        <v>60</v>
      </c>
      <c r="L95" s="20">
        <v>48</v>
      </c>
      <c r="M95" s="21"/>
      <c r="N95" s="21">
        <f t="shared" si="1"/>
        <v>0</v>
      </c>
    </row>
    <row r="96" s="4" customFormat="1" ht="100" customHeight="1" spans="1:14">
      <c r="A96" s="10">
        <v>93</v>
      </c>
      <c r="B96" s="10" t="s">
        <v>215</v>
      </c>
      <c r="C96" s="10" t="s">
        <v>16</v>
      </c>
      <c r="D96" s="11" t="s">
        <v>278</v>
      </c>
      <c r="E96" s="11" t="s">
        <v>279</v>
      </c>
      <c r="F96" s="11" t="s">
        <v>19</v>
      </c>
      <c r="G96" s="11" t="str">
        <f>_xlfn.DISPIMG("ID_3DE27852C0F242D18749E00D62DAC3F5",1)</f>
        <v>=DISPIMG("ID_3DE27852C0F242D18749E00D62DAC3F5",1)</v>
      </c>
      <c r="H96" s="10" t="s">
        <v>280</v>
      </c>
      <c r="I96" s="10" t="s">
        <v>281</v>
      </c>
      <c r="J96" s="10" t="s">
        <v>112</v>
      </c>
      <c r="K96" s="10">
        <v>60</v>
      </c>
      <c r="L96" s="20">
        <v>20</v>
      </c>
      <c r="M96" s="21"/>
      <c r="N96" s="21">
        <f t="shared" si="1"/>
        <v>0</v>
      </c>
    </row>
    <row r="97" s="4" customFormat="1" ht="100" customHeight="1" spans="1:14">
      <c r="A97" s="10">
        <v>94</v>
      </c>
      <c r="B97" s="10" t="s">
        <v>215</v>
      </c>
      <c r="C97" s="10" t="s">
        <v>16</v>
      </c>
      <c r="D97" s="11" t="s">
        <v>282</v>
      </c>
      <c r="E97" s="11" t="s">
        <v>283</v>
      </c>
      <c r="F97" s="11" t="s">
        <v>19</v>
      </c>
      <c r="G97" s="11" t="str">
        <f>_xlfn.DISPIMG("ID_A4032DF769F24405A0D01041137B7F2F",1)</f>
        <v>=DISPIMG("ID_A4032DF769F24405A0D01041137B7F2F",1)</v>
      </c>
      <c r="H97" s="10" t="s">
        <v>284</v>
      </c>
      <c r="I97" s="10" t="s">
        <v>285</v>
      </c>
      <c r="J97" s="10" t="s">
        <v>112</v>
      </c>
      <c r="K97" s="10">
        <v>60</v>
      </c>
      <c r="L97" s="20">
        <v>50</v>
      </c>
      <c r="M97" s="21"/>
      <c r="N97" s="21">
        <f t="shared" si="1"/>
        <v>0</v>
      </c>
    </row>
    <row r="98" s="4" customFormat="1" ht="100" customHeight="1" spans="1:14">
      <c r="A98" s="10">
        <v>95</v>
      </c>
      <c r="B98" s="10" t="s">
        <v>215</v>
      </c>
      <c r="C98" s="10" t="s">
        <v>16</v>
      </c>
      <c r="D98" s="11" t="s">
        <v>282</v>
      </c>
      <c r="E98" s="11" t="s">
        <v>286</v>
      </c>
      <c r="F98" s="11" t="s">
        <v>19</v>
      </c>
      <c r="G98" s="10" t="str">
        <f>_xlfn.DISPIMG("ID_E943AF18EF0740A6B810212280CF10B7",1)</f>
        <v>=DISPIMG("ID_E943AF18EF0740A6B810212280CF10B7",1)</v>
      </c>
      <c r="H98" s="10" t="s">
        <v>287</v>
      </c>
      <c r="I98" s="10" t="s">
        <v>285</v>
      </c>
      <c r="J98" s="10" t="s">
        <v>112</v>
      </c>
      <c r="K98" s="10">
        <v>60</v>
      </c>
      <c r="L98" s="20">
        <v>50</v>
      </c>
      <c r="M98" s="21"/>
      <c r="N98" s="21">
        <f t="shared" si="1"/>
        <v>0</v>
      </c>
    </row>
    <row r="99" s="4" customFormat="1" ht="100" customHeight="1" spans="1:14">
      <c r="A99" s="10">
        <v>96</v>
      </c>
      <c r="B99" s="10" t="s">
        <v>288</v>
      </c>
      <c r="C99" s="10" t="s">
        <v>16</v>
      </c>
      <c r="D99" s="11" t="s">
        <v>289</v>
      </c>
      <c r="E99" s="11" t="s">
        <v>290</v>
      </c>
      <c r="F99" s="11" t="s">
        <v>19</v>
      </c>
      <c r="G99" s="11" t="str">
        <f>_xlfn.DISPIMG("ID_791AA7B6E4174CE88C69D615E24FCCCB",1)</f>
        <v>=DISPIMG("ID_791AA7B6E4174CE88C69D615E24FCCCB",1)</v>
      </c>
      <c r="H99" s="10" t="s">
        <v>291</v>
      </c>
      <c r="I99" s="13" t="s">
        <v>292</v>
      </c>
      <c r="J99" s="10" t="s">
        <v>22</v>
      </c>
      <c r="K99" s="10">
        <v>60</v>
      </c>
      <c r="L99" s="20">
        <v>520</v>
      </c>
      <c r="M99" s="21"/>
      <c r="N99" s="21">
        <f t="shared" si="1"/>
        <v>0</v>
      </c>
    </row>
    <row r="100" s="4" customFormat="1" ht="100" customHeight="1" spans="1:14">
      <c r="A100" s="10">
        <v>97</v>
      </c>
      <c r="B100" s="10" t="s">
        <v>288</v>
      </c>
      <c r="C100" s="10" t="s">
        <v>16</v>
      </c>
      <c r="D100" s="11" t="s">
        <v>293</v>
      </c>
      <c r="E100" s="11" t="s">
        <v>294</v>
      </c>
      <c r="F100" s="11" t="s">
        <v>19</v>
      </c>
      <c r="G100" s="11" t="str">
        <f>_xlfn.DISPIMG("ID_28FF121FECA741F596DCABF2CDE11181",1)</f>
        <v>=DISPIMG("ID_28FF121FECA741F596DCABF2CDE11181",1)</v>
      </c>
      <c r="H100" s="10" t="s">
        <v>291</v>
      </c>
      <c r="I100" s="13" t="s">
        <v>295</v>
      </c>
      <c r="J100" s="10" t="s">
        <v>22</v>
      </c>
      <c r="K100" s="10">
        <v>60</v>
      </c>
      <c r="L100" s="20">
        <v>555</v>
      </c>
      <c r="M100" s="21"/>
      <c r="N100" s="21">
        <f t="shared" si="1"/>
        <v>0</v>
      </c>
    </row>
    <row r="101" s="4" customFormat="1" ht="100" customHeight="1" spans="1:14">
      <c r="A101" s="10">
        <v>98</v>
      </c>
      <c r="B101" s="10" t="s">
        <v>288</v>
      </c>
      <c r="C101" s="10" t="s">
        <v>16</v>
      </c>
      <c r="D101" s="11" t="s">
        <v>293</v>
      </c>
      <c r="E101" s="11" t="s">
        <v>296</v>
      </c>
      <c r="F101" s="11" t="s">
        <v>19</v>
      </c>
      <c r="G101" s="11" t="str">
        <f>_xlfn.DISPIMG("ID_051CBFC4A470445C9FC82CB9BE3635B5",1)</f>
        <v>=DISPIMG("ID_051CBFC4A470445C9FC82CB9BE3635B5",1)</v>
      </c>
      <c r="H101" s="10" t="s">
        <v>291</v>
      </c>
      <c r="I101" s="13" t="s">
        <v>292</v>
      </c>
      <c r="J101" s="10" t="s">
        <v>22</v>
      </c>
      <c r="K101" s="10">
        <v>60</v>
      </c>
      <c r="L101" s="20">
        <v>435</v>
      </c>
      <c r="M101" s="21"/>
      <c r="N101" s="21">
        <f t="shared" si="1"/>
        <v>0</v>
      </c>
    </row>
    <row r="102" s="4" customFormat="1" ht="100" customHeight="1" spans="1:14">
      <c r="A102" s="10">
        <v>99</v>
      </c>
      <c r="B102" s="10" t="s">
        <v>288</v>
      </c>
      <c r="C102" s="10" t="s">
        <v>16</v>
      </c>
      <c r="D102" s="11" t="s">
        <v>297</v>
      </c>
      <c r="E102" s="11" t="s">
        <v>298</v>
      </c>
      <c r="F102" s="11" t="s">
        <v>19</v>
      </c>
      <c r="G102" s="11" t="str">
        <f>_xlfn.DISPIMG("ID_6A9EDA897F7E49CA95EA5CC5194304BD",1)</f>
        <v>=DISPIMG("ID_6A9EDA897F7E49CA95EA5CC5194304BD",1)</v>
      </c>
      <c r="H102" s="10" t="s">
        <v>291</v>
      </c>
      <c r="I102" s="13" t="s">
        <v>295</v>
      </c>
      <c r="J102" s="10" t="s">
        <v>22</v>
      </c>
      <c r="K102" s="10">
        <v>60</v>
      </c>
      <c r="L102" s="20">
        <v>500</v>
      </c>
      <c r="M102" s="21"/>
      <c r="N102" s="21">
        <f t="shared" si="1"/>
        <v>0</v>
      </c>
    </row>
    <row r="103" s="4" customFormat="1" ht="100" customHeight="1" spans="1:14">
      <c r="A103" s="10">
        <v>100</v>
      </c>
      <c r="B103" s="10" t="s">
        <v>288</v>
      </c>
      <c r="C103" s="10" t="s">
        <v>16</v>
      </c>
      <c r="D103" s="11" t="s">
        <v>293</v>
      </c>
      <c r="E103" s="11" t="s">
        <v>299</v>
      </c>
      <c r="F103" s="11" t="s">
        <v>19</v>
      </c>
      <c r="G103" s="11" t="str">
        <f>_xlfn.DISPIMG("ID_D567BC0CD22442099B66968B895C0EFA",1)</f>
        <v>=DISPIMG("ID_D567BC0CD22442099B66968B895C0EFA",1)</v>
      </c>
      <c r="H103" s="10" t="s">
        <v>291</v>
      </c>
      <c r="I103" s="13" t="s">
        <v>292</v>
      </c>
      <c r="J103" s="10" t="s">
        <v>22</v>
      </c>
      <c r="K103" s="10">
        <v>60</v>
      </c>
      <c r="L103" s="20">
        <v>740</v>
      </c>
      <c r="M103" s="21"/>
      <c r="N103" s="21">
        <f t="shared" si="1"/>
        <v>0</v>
      </c>
    </row>
    <row r="104" s="4" customFormat="1" ht="100" customHeight="1" spans="1:14">
      <c r="A104" s="10">
        <v>101</v>
      </c>
      <c r="B104" s="10" t="s">
        <v>288</v>
      </c>
      <c r="C104" s="10" t="s">
        <v>16</v>
      </c>
      <c r="D104" s="10" t="s">
        <v>300</v>
      </c>
      <c r="E104" s="12" t="s">
        <v>301</v>
      </c>
      <c r="F104" s="11" t="s">
        <v>19</v>
      </c>
      <c r="G104" s="12" t="str">
        <f>_xlfn.DISPIMG("ID_DADDDC5A7E234355AC46739237968362",1)</f>
        <v>=DISPIMG("ID_DADDDC5A7E234355AC46739237968362",1)</v>
      </c>
      <c r="H104" s="10" t="s">
        <v>291</v>
      </c>
      <c r="I104" s="13" t="s">
        <v>302</v>
      </c>
      <c r="J104" s="10" t="s">
        <v>22</v>
      </c>
      <c r="K104" s="10">
        <v>60</v>
      </c>
      <c r="L104" s="20">
        <v>720</v>
      </c>
      <c r="M104" s="21"/>
      <c r="N104" s="21">
        <f t="shared" si="1"/>
        <v>0</v>
      </c>
    </row>
    <row r="105" s="4" customFormat="1" ht="75" customHeight="1" spans="1:14">
      <c r="A105" s="10">
        <v>102</v>
      </c>
      <c r="B105" s="10" t="s">
        <v>288</v>
      </c>
      <c r="C105" s="10" t="s">
        <v>16</v>
      </c>
      <c r="D105" s="10" t="s">
        <v>303</v>
      </c>
      <c r="E105" s="10" t="s">
        <v>304</v>
      </c>
      <c r="F105" s="10" t="s">
        <v>19</v>
      </c>
      <c r="G105" s="10" t="str">
        <f>_xlfn.DISPIMG("ID_C11099838C2F40B19D9D096CF4AFC101",1)</f>
        <v>=DISPIMG("ID_C11099838C2F40B19D9D096CF4AFC101",1)</v>
      </c>
      <c r="H105" s="10" t="s">
        <v>305</v>
      </c>
      <c r="I105" s="26" t="s">
        <v>306</v>
      </c>
      <c r="J105" s="10" t="s">
        <v>22</v>
      </c>
      <c r="K105" s="10">
        <v>60</v>
      </c>
      <c r="L105" s="20">
        <v>840</v>
      </c>
      <c r="M105" s="21"/>
      <c r="N105" s="21">
        <f t="shared" si="1"/>
        <v>0</v>
      </c>
    </row>
    <row r="106" s="4" customFormat="1" ht="75" customHeight="1" spans="1:14">
      <c r="A106" s="10">
        <v>103</v>
      </c>
      <c r="B106" s="10" t="s">
        <v>288</v>
      </c>
      <c r="C106" s="10"/>
      <c r="D106" s="10"/>
      <c r="E106" s="10"/>
      <c r="F106" s="10"/>
      <c r="G106" s="10"/>
      <c r="H106" s="10"/>
      <c r="I106" s="26" t="s">
        <v>307</v>
      </c>
      <c r="J106" s="10" t="s">
        <v>22</v>
      </c>
      <c r="K106" s="10">
        <v>60</v>
      </c>
      <c r="L106" s="20">
        <v>870</v>
      </c>
      <c r="M106" s="21"/>
      <c r="N106" s="21">
        <f t="shared" si="1"/>
        <v>0</v>
      </c>
    </row>
    <row r="107" s="4" customFormat="1" ht="75" customHeight="1" spans="1:14">
      <c r="A107" s="10">
        <v>104</v>
      </c>
      <c r="B107" s="10" t="s">
        <v>288</v>
      </c>
      <c r="C107" s="10"/>
      <c r="D107" s="10"/>
      <c r="E107" s="10"/>
      <c r="F107" s="10"/>
      <c r="G107" s="10"/>
      <c r="H107" s="10"/>
      <c r="I107" s="26" t="s">
        <v>308</v>
      </c>
      <c r="J107" s="10" t="s">
        <v>22</v>
      </c>
      <c r="K107" s="10">
        <v>60</v>
      </c>
      <c r="L107" s="20">
        <v>880</v>
      </c>
      <c r="M107" s="21"/>
      <c r="N107" s="21">
        <f t="shared" si="1"/>
        <v>0</v>
      </c>
    </row>
    <row r="108" s="4" customFormat="1" ht="75" customHeight="1" spans="1:14">
      <c r="A108" s="10">
        <v>105</v>
      </c>
      <c r="B108" s="10" t="s">
        <v>288</v>
      </c>
      <c r="C108" s="10"/>
      <c r="D108" s="10"/>
      <c r="E108" s="10"/>
      <c r="F108" s="10"/>
      <c r="G108" s="10"/>
      <c r="H108" s="10"/>
      <c r="I108" s="26" t="s">
        <v>309</v>
      </c>
      <c r="J108" s="10" t="s">
        <v>22</v>
      </c>
      <c r="K108" s="10">
        <v>60</v>
      </c>
      <c r="L108" s="20">
        <v>910</v>
      </c>
      <c r="M108" s="21"/>
      <c r="N108" s="21">
        <f t="shared" si="1"/>
        <v>0</v>
      </c>
    </row>
    <row r="109" s="4" customFormat="1" ht="75" customHeight="1" spans="1:14">
      <c r="A109" s="10">
        <v>106</v>
      </c>
      <c r="B109" s="10" t="s">
        <v>288</v>
      </c>
      <c r="C109" s="10" t="s">
        <v>16</v>
      </c>
      <c r="D109" s="10" t="s">
        <v>310</v>
      </c>
      <c r="E109" s="10" t="s">
        <v>311</v>
      </c>
      <c r="F109" s="10" t="s">
        <v>19</v>
      </c>
      <c r="G109" s="10" t="str">
        <f>_xlfn.DISPIMG("ID_29BF4E96E1074ABC8BDD5B352A707A79",1)</f>
        <v>=DISPIMG("ID_29BF4E96E1074ABC8BDD5B352A707A79",1)</v>
      </c>
      <c r="H109" s="10" t="s">
        <v>312</v>
      </c>
      <c r="I109" s="26" t="s">
        <v>306</v>
      </c>
      <c r="J109" s="10" t="s">
        <v>22</v>
      </c>
      <c r="K109" s="10">
        <v>60</v>
      </c>
      <c r="L109" s="20">
        <v>775</v>
      </c>
      <c r="M109" s="21"/>
      <c r="N109" s="21">
        <f t="shared" si="1"/>
        <v>0</v>
      </c>
    </row>
    <row r="110" s="4" customFormat="1" ht="75" customHeight="1" spans="1:14">
      <c r="A110" s="10">
        <v>107</v>
      </c>
      <c r="B110" s="10" t="s">
        <v>288</v>
      </c>
      <c r="C110" s="10"/>
      <c r="D110" s="10"/>
      <c r="E110" s="10"/>
      <c r="F110" s="10"/>
      <c r="G110" s="10"/>
      <c r="H110" s="10"/>
      <c r="I110" s="26" t="s">
        <v>307</v>
      </c>
      <c r="J110" s="10" t="s">
        <v>22</v>
      </c>
      <c r="K110" s="10">
        <v>60</v>
      </c>
      <c r="L110" s="20">
        <v>795</v>
      </c>
      <c r="M110" s="21"/>
      <c r="N110" s="21">
        <f t="shared" si="1"/>
        <v>0</v>
      </c>
    </row>
    <row r="111" s="4" customFormat="1" ht="75" customHeight="1" spans="1:14">
      <c r="A111" s="10">
        <v>108</v>
      </c>
      <c r="B111" s="10" t="s">
        <v>288</v>
      </c>
      <c r="C111" s="10"/>
      <c r="D111" s="10"/>
      <c r="E111" s="10"/>
      <c r="F111" s="10"/>
      <c r="G111" s="10"/>
      <c r="H111" s="10"/>
      <c r="I111" s="26" t="s">
        <v>308</v>
      </c>
      <c r="J111" s="10" t="s">
        <v>22</v>
      </c>
      <c r="K111" s="10">
        <v>60</v>
      </c>
      <c r="L111" s="20">
        <v>815</v>
      </c>
      <c r="M111" s="21"/>
      <c r="N111" s="21">
        <f t="shared" si="1"/>
        <v>0</v>
      </c>
    </row>
    <row r="112" s="4" customFormat="1" ht="75" customHeight="1" spans="1:14">
      <c r="A112" s="10">
        <v>109</v>
      </c>
      <c r="B112" s="10" t="s">
        <v>288</v>
      </c>
      <c r="C112" s="10"/>
      <c r="D112" s="10"/>
      <c r="E112" s="10"/>
      <c r="F112" s="10"/>
      <c r="G112" s="10"/>
      <c r="H112" s="10"/>
      <c r="I112" s="26" t="s">
        <v>309</v>
      </c>
      <c r="J112" s="10" t="s">
        <v>22</v>
      </c>
      <c r="K112" s="10">
        <v>60</v>
      </c>
      <c r="L112" s="20">
        <v>835</v>
      </c>
      <c r="M112" s="21"/>
      <c r="N112" s="21">
        <f t="shared" si="1"/>
        <v>0</v>
      </c>
    </row>
    <row r="113" s="4" customFormat="1" ht="64" customHeight="1" spans="1:14">
      <c r="A113" s="10">
        <v>110</v>
      </c>
      <c r="B113" s="10" t="s">
        <v>288</v>
      </c>
      <c r="C113" s="10" t="s">
        <v>16</v>
      </c>
      <c r="D113" s="10" t="s">
        <v>310</v>
      </c>
      <c r="E113" s="10" t="s">
        <v>313</v>
      </c>
      <c r="F113" s="10" t="s">
        <v>19</v>
      </c>
      <c r="G113" s="10" t="str">
        <f>_xlfn.DISPIMG("ID_FEEEDF25291D4A5B9C81C81474D70F6D",1)</f>
        <v>=DISPIMG("ID_FEEEDF25291D4A5B9C81C81474D70F6D",1)</v>
      </c>
      <c r="H113" s="10" t="s">
        <v>314</v>
      </c>
      <c r="I113" s="26" t="s">
        <v>306</v>
      </c>
      <c r="J113" s="10" t="s">
        <v>22</v>
      </c>
      <c r="K113" s="10">
        <v>60</v>
      </c>
      <c r="L113" s="20">
        <v>820</v>
      </c>
      <c r="M113" s="21"/>
      <c r="N113" s="21">
        <f t="shared" si="1"/>
        <v>0</v>
      </c>
    </row>
    <row r="114" s="4" customFormat="1" ht="64" customHeight="1" spans="1:14">
      <c r="A114" s="10">
        <v>111</v>
      </c>
      <c r="B114" s="10" t="s">
        <v>288</v>
      </c>
      <c r="C114" s="10"/>
      <c r="D114" s="10"/>
      <c r="E114" s="10"/>
      <c r="F114" s="10"/>
      <c r="G114" s="10"/>
      <c r="H114" s="10"/>
      <c r="I114" s="26" t="s">
        <v>307</v>
      </c>
      <c r="J114" s="10" t="s">
        <v>22</v>
      </c>
      <c r="K114" s="10">
        <v>60</v>
      </c>
      <c r="L114" s="20">
        <v>845</v>
      </c>
      <c r="M114" s="21"/>
      <c r="N114" s="21">
        <f t="shared" si="1"/>
        <v>0</v>
      </c>
    </row>
    <row r="115" s="4" customFormat="1" ht="64" customHeight="1" spans="1:14">
      <c r="A115" s="10">
        <v>112</v>
      </c>
      <c r="B115" s="10" t="s">
        <v>288</v>
      </c>
      <c r="C115" s="10"/>
      <c r="D115" s="10"/>
      <c r="E115" s="10"/>
      <c r="F115" s="10"/>
      <c r="G115" s="10"/>
      <c r="H115" s="10"/>
      <c r="I115" s="26" t="s">
        <v>308</v>
      </c>
      <c r="J115" s="10" t="s">
        <v>22</v>
      </c>
      <c r="K115" s="10">
        <v>60</v>
      </c>
      <c r="L115" s="20">
        <v>860</v>
      </c>
      <c r="M115" s="21"/>
      <c r="N115" s="21">
        <f t="shared" si="1"/>
        <v>0</v>
      </c>
    </row>
    <row r="116" s="4" customFormat="1" ht="64" customHeight="1" spans="1:14">
      <c r="A116" s="10">
        <v>113</v>
      </c>
      <c r="B116" s="10" t="s">
        <v>288</v>
      </c>
      <c r="C116" s="10"/>
      <c r="D116" s="10"/>
      <c r="E116" s="10"/>
      <c r="F116" s="10"/>
      <c r="G116" s="10"/>
      <c r="H116" s="10"/>
      <c r="I116" s="26" t="s">
        <v>309</v>
      </c>
      <c r="J116" s="10" t="s">
        <v>22</v>
      </c>
      <c r="K116" s="10">
        <v>60</v>
      </c>
      <c r="L116" s="20">
        <v>885</v>
      </c>
      <c r="M116" s="21"/>
      <c r="N116" s="21">
        <f t="shared" si="1"/>
        <v>0</v>
      </c>
    </row>
    <row r="117" s="4" customFormat="1" ht="64" customHeight="1" spans="1:14">
      <c r="A117" s="10">
        <v>114</v>
      </c>
      <c r="B117" s="10" t="s">
        <v>288</v>
      </c>
      <c r="C117" s="10" t="s">
        <v>16</v>
      </c>
      <c r="D117" s="10" t="s">
        <v>310</v>
      </c>
      <c r="E117" s="10" t="s">
        <v>315</v>
      </c>
      <c r="F117" s="10" t="s">
        <v>19</v>
      </c>
      <c r="G117" s="10" t="str">
        <f>_xlfn.DISPIMG("ID_645588B36AD74BC4A5F6A25A4F60FEC6",1)</f>
        <v>=DISPIMG("ID_645588B36AD74BC4A5F6A25A4F60FEC6",1)</v>
      </c>
      <c r="H117" s="10" t="s">
        <v>316</v>
      </c>
      <c r="I117" s="26" t="s">
        <v>306</v>
      </c>
      <c r="J117" s="10" t="s">
        <v>22</v>
      </c>
      <c r="K117" s="10">
        <v>60</v>
      </c>
      <c r="L117" s="20">
        <v>890</v>
      </c>
      <c r="M117" s="21"/>
      <c r="N117" s="21">
        <f t="shared" si="1"/>
        <v>0</v>
      </c>
    </row>
    <row r="118" s="4" customFormat="1" ht="64" customHeight="1" spans="1:14">
      <c r="A118" s="10">
        <v>115</v>
      </c>
      <c r="B118" s="10" t="s">
        <v>288</v>
      </c>
      <c r="C118" s="10"/>
      <c r="D118" s="10"/>
      <c r="E118" s="10"/>
      <c r="F118" s="10"/>
      <c r="G118" s="10"/>
      <c r="H118" s="10"/>
      <c r="I118" s="26" t="s">
        <v>307</v>
      </c>
      <c r="J118" s="10" t="s">
        <v>22</v>
      </c>
      <c r="K118" s="10">
        <v>60</v>
      </c>
      <c r="L118" s="20">
        <v>915</v>
      </c>
      <c r="M118" s="21"/>
      <c r="N118" s="21">
        <f t="shared" si="1"/>
        <v>0</v>
      </c>
    </row>
    <row r="119" s="4" customFormat="1" ht="64" customHeight="1" spans="1:14">
      <c r="A119" s="10">
        <v>116</v>
      </c>
      <c r="B119" s="10" t="s">
        <v>288</v>
      </c>
      <c r="C119" s="10"/>
      <c r="D119" s="10"/>
      <c r="E119" s="10"/>
      <c r="F119" s="10"/>
      <c r="G119" s="10"/>
      <c r="H119" s="10"/>
      <c r="I119" s="26" t="s">
        <v>308</v>
      </c>
      <c r="J119" s="10" t="s">
        <v>22</v>
      </c>
      <c r="K119" s="10">
        <v>60</v>
      </c>
      <c r="L119" s="20">
        <v>930</v>
      </c>
      <c r="M119" s="21"/>
      <c r="N119" s="21">
        <f t="shared" si="1"/>
        <v>0</v>
      </c>
    </row>
    <row r="120" s="4" customFormat="1" ht="64" customHeight="1" spans="1:14">
      <c r="A120" s="10">
        <v>117</v>
      </c>
      <c r="B120" s="10" t="s">
        <v>288</v>
      </c>
      <c r="C120" s="10"/>
      <c r="D120" s="10"/>
      <c r="E120" s="10"/>
      <c r="F120" s="10"/>
      <c r="G120" s="10"/>
      <c r="H120" s="10"/>
      <c r="I120" s="26" t="s">
        <v>309</v>
      </c>
      <c r="J120" s="10" t="s">
        <v>22</v>
      </c>
      <c r="K120" s="10">
        <v>60</v>
      </c>
      <c r="L120" s="20">
        <v>955</v>
      </c>
      <c r="M120" s="21"/>
      <c r="N120" s="21">
        <f t="shared" si="1"/>
        <v>0</v>
      </c>
    </row>
    <row r="121" s="4" customFormat="1" ht="100" customHeight="1" spans="1:14">
      <c r="A121" s="10">
        <v>118</v>
      </c>
      <c r="B121" s="10" t="s">
        <v>288</v>
      </c>
      <c r="C121" s="10" t="s">
        <v>16</v>
      </c>
      <c r="D121" s="10" t="s">
        <v>310</v>
      </c>
      <c r="E121" s="10" t="s">
        <v>317</v>
      </c>
      <c r="F121" s="10" t="s">
        <v>19</v>
      </c>
      <c r="G121" s="10" t="str">
        <f>_xlfn.DISPIMG("ID_B74EC651EBF342C58652B70E37554A62",1)</f>
        <v>=DISPIMG("ID_B74EC651EBF342C58652B70E37554A62",1)</v>
      </c>
      <c r="H121" s="10" t="s">
        <v>318</v>
      </c>
      <c r="I121" s="26" t="s">
        <v>306</v>
      </c>
      <c r="J121" s="10" t="s">
        <v>22</v>
      </c>
      <c r="K121" s="10">
        <v>60</v>
      </c>
      <c r="L121" s="20">
        <v>870</v>
      </c>
      <c r="M121" s="21"/>
      <c r="N121" s="21">
        <f t="shared" si="1"/>
        <v>0</v>
      </c>
    </row>
    <row r="122" s="4" customFormat="1" ht="100" customHeight="1" spans="1:14">
      <c r="A122" s="10">
        <v>119</v>
      </c>
      <c r="B122" s="10" t="s">
        <v>288</v>
      </c>
      <c r="C122" s="10"/>
      <c r="D122" s="10"/>
      <c r="E122" s="10"/>
      <c r="F122" s="10"/>
      <c r="G122" s="10"/>
      <c r="H122" s="10"/>
      <c r="I122" s="26" t="s">
        <v>307</v>
      </c>
      <c r="J122" s="10" t="s">
        <v>22</v>
      </c>
      <c r="K122" s="10">
        <v>60</v>
      </c>
      <c r="L122" s="20">
        <v>895</v>
      </c>
      <c r="M122" s="21"/>
      <c r="N122" s="21">
        <f t="shared" si="1"/>
        <v>0</v>
      </c>
    </row>
    <row r="123" s="4" customFormat="1" ht="100" customHeight="1" spans="1:14">
      <c r="A123" s="10">
        <v>120</v>
      </c>
      <c r="B123" s="10" t="s">
        <v>288</v>
      </c>
      <c r="C123" s="10"/>
      <c r="D123" s="10"/>
      <c r="E123" s="10"/>
      <c r="F123" s="10"/>
      <c r="G123" s="10"/>
      <c r="H123" s="10"/>
      <c r="I123" s="26" t="s">
        <v>308</v>
      </c>
      <c r="J123" s="10" t="s">
        <v>22</v>
      </c>
      <c r="K123" s="10">
        <v>60</v>
      </c>
      <c r="L123" s="20">
        <v>910</v>
      </c>
      <c r="M123" s="21"/>
      <c r="N123" s="21">
        <f t="shared" si="1"/>
        <v>0</v>
      </c>
    </row>
    <row r="124" s="4" customFormat="1" ht="100" customHeight="1" spans="1:14">
      <c r="A124" s="10">
        <v>121</v>
      </c>
      <c r="B124" s="10" t="s">
        <v>288</v>
      </c>
      <c r="C124" s="10"/>
      <c r="D124" s="10"/>
      <c r="E124" s="10"/>
      <c r="F124" s="10"/>
      <c r="G124" s="10"/>
      <c r="H124" s="10"/>
      <c r="I124" s="26" t="s">
        <v>309</v>
      </c>
      <c r="J124" s="10" t="s">
        <v>22</v>
      </c>
      <c r="K124" s="10">
        <v>60</v>
      </c>
      <c r="L124" s="20">
        <v>935</v>
      </c>
      <c r="M124" s="21"/>
      <c r="N124" s="21">
        <f t="shared" si="1"/>
        <v>0</v>
      </c>
    </row>
    <row r="125" s="4" customFormat="1" ht="100" customHeight="1" spans="1:14">
      <c r="A125" s="10">
        <v>122</v>
      </c>
      <c r="B125" s="10" t="s">
        <v>288</v>
      </c>
      <c r="C125" s="10" t="s">
        <v>16</v>
      </c>
      <c r="D125" s="11" t="s">
        <v>310</v>
      </c>
      <c r="E125" s="11" t="s">
        <v>319</v>
      </c>
      <c r="F125" s="11" t="s">
        <v>19</v>
      </c>
      <c r="G125" s="11" t="str">
        <f>_xlfn.DISPIMG("ID_A6822980B6484D5F9C3C94A6B7E80B8D",1)</f>
        <v>=DISPIMG("ID_A6822980B6484D5F9C3C94A6B7E80B8D",1)</v>
      </c>
      <c r="H125" s="25" t="s">
        <v>320</v>
      </c>
      <c r="I125" s="26" t="s">
        <v>306</v>
      </c>
      <c r="J125" s="10" t="s">
        <v>22</v>
      </c>
      <c r="K125" s="10">
        <v>60</v>
      </c>
      <c r="L125" s="20">
        <v>565</v>
      </c>
      <c r="M125" s="21"/>
      <c r="N125" s="21">
        <f t="shared" si="1"/>
        <v>0</v>
      </c>
    </row>
    <row r="126" s="4" customFormat="1" ht="100" customHeight="1" spans="1:14">
      <c r="A126" s="10">
        <v>123</v>
      </c>
      <c r="B126" s="10" t="s">
        <v>288</v>
      </c>
      <c r="C126" s="10" t="s">
        <v>16</v>
      </c>
      <c r="D126" s="11" t="s">
        <v>321</v>
      </c>
      <c r="E126" s="11" t="s">
        <v>322</v>
      </c>
      <c r="F126" s="11" t="s">
        <v>19</v>
      </c>
      <c r="G126" s="11" t="str">
        <f>_xlfn.DISPIMG("ID_2F7F3F535D554DA09D2C053DD3F12FD8",1)</f>
        <v>=DISPIMG("ID_2F7F3F535D554DA09D2C053DD3F12FD8",1)</v>
      </c>
      <c r="H126" s="25" t="s">
        <v>320</v>
      </c>
      <c r="I126" s="26" t="s">
        <v>308</v>
      </c>
      <c r="J126" s="10" t="s">
        <v>22</v>
      </c>
      <c r="K126" s="10">
        <v>60</v>
      </c>
      <c r="L126" s="20">
        <v>432</v>
      </c>
      <c r="M126" s="21"/>
      <c r="N126" s="21">
        <f t="shared" si="1"/>
        <v>0</v>
      </c>
    </row>
    <row r="127" s="4" customFormat="1" ht="100" customHeight="1" spans="1:14">
      <c r="A127" s="10">
        <v>124</v>
      </c>
      <c r="B127" s="10" t="s">
        <v>288</v>
      </c>
      <c r="C127" s="10" t="s">
        <v>16</v>
      </c>
      <c r="D127" s="11" t="s">
        <v>321</v>
      </c>
      <c r="E127" s="11" t="s">
        <v>323</v>
      </c>
      <c r="F127" s="11" t="s">
        <v>19</v>
      </c>
      <c r="G127" s="11" t="str">
        <f>_xlfn.DISPIMG("ID_36558FF175414C53951A110AD6B2DDA4",1)</f>
        <v>=DISPIMG("ID_36558FF175414C53951A110AD6B2DDA4",1)</v>
      </c>
      <c r="H127" s="25" t="s">
        <v>320</v>
      </c>
      <c r="I127" s="26" t="s">
        <v>308</v>
      </c>
      <c r="J127" s="10" t="s">
        <v>22</v>
      </c>
      <c r="K127" s="10">
        <v>60</v>
      </c>
      <c r="L127" s="20">
        <v>332</v>
      </c>
      <c r="M127" s="21"/>
      <c r="N127" s="21">
        <f t="shared" si="1"/>
        <v>0</v>
      </c>
    </row>
    <row r="128" s="4" customFormat="1" ht="100" customHeight="1" spans="1:14">
      <c r="A128" s="10">
        <v>125</v>
      </c>
      <c r="B128" s="10" t="s">
        <v>288</v>
      </c>
      <c r="C128" s="10" t="s">
        <v>16</v>
      </c>
      <c r="D128" s="11" t="s">
        <v>324</v>
      </c>
      <c r="E128" s="11" t="s">
        <v>325</v>
      </c>
      <c r="F128" s="11" t="s">
        <v>19</v>
      </c>
      <c r="G128" s="11" t="str">
        <f>_xlfn.DISPIMG("ID_01848590BE1B45D683D46A91C7D664E9",1)</f>
        <v>=DISPIMG("ID_01848590BE1B45D683D46A91C7D664E9",1)</v>
      </c>
      <c r="H128" s="25" t="s">
        <v>320</v>
      </c>
      <c r="I128" s="26" t="s">
        <v>306</v>
      </c>
      <c r="J128" s="10" t="s">
        <v>22</v>
      </c>
      <c r="K128" s="10">
        <v>60</v>
      </c>
      <c r="L128" s="20">
        <v>680</v>
      </c>
      <c r="M128" s="21"/>
      <c r="N128" s="21">
        <f t="shared" si="1"/>
        <v>0</v>
      </c>
    </row>
    <row r="129" s="4" customFormat="1" ht="100" customHeight="1" spans="1:14">
      <c r="A129" s="10">
        <v>126</v>
      </c>
      <c r="B129" s="10" t="s">
        <v>288</v>
      </c>
      <c r="C129" s="10" t="s">
        <v>16</v>
      </c>
      <c r="D129" s="10" t="s">
        <v>326</v>
      </c>
      <c r="E129" s="10" t="s">
        <v>327</v>
      </c>
      <c r="F129" s="10" t="s">
        <v>19</v>
      </c>
      <c r="G129" s="11" t="str">
        <f>_xlfn.DISPIMG("ID_1AAD031238434563B50C089F6A437E5E",1)</f>
        <v>=DISPIMG("ID_1AAD031238434563B50C089F6A437E5E",1)</v>
      </c>
      <c r="H129" s="10" t="s">
        <v>320</v>
      </c>
      <c r="I129" s="26" t="s">
        <v>306</v>
      </c>
      <c r="J129" s="10" t="s">
        <v>22</v>
      </c>
      <c r="K129" s="10">
        <v>60</v>
      </c>
      <c r="L129" s="20">
        <v>180</v>
      </c>
      <c r="M129" s="21"/>
      <c r="N129" s="21">
        <f t="shared" si="1"/>
        <v>0</v>
      </c>
    </row>
    <row r="130" s="4" customFormat="1" ht="100" customHeight="1" spans="1:14">
      <c r="A130" s="10">
        <v>127</v>
      </c>
      <c r="B130" s="10" t="s">
        <v>288</v>
      </c>
      <c r="C130" s="10" t="s">
        <v>16</v>
      </c>
      <c r="D130" s="10" t="s">
        <v>328</v>
      </c>
      <c r="E130" s="11" t="s">
        <v>329</v>
      </c>
      <c r="F130" s="10" t="s">
        <v>19</v>
      </c>
      <c r="G130" s="11" t="str">
        <f>_xlfn.DISPIMG("ID_E50A0DFC7860433F96F1109DBF8C64DC",1)</f>
        <v>=DISPIMG("ID_E50A0DFC7860433F96F1109DBF8C64DC",1)</v>
      </c>
      <c r="H130" s="10" t="s">
        <v>320</v>
      </c>
      <c r="I130" s="26" t="s">
        <v>306</v>
      </c>
      <c r="J130" s="10" t="s">
        <v>22</v>
      </c>
      <c r="K130" s="10">
        <v>60</v>
      </c>
      <c r="L130" s="20">
        <v>220</v>
      </c>
      <c r="M130" s="21"/>
      <c r="N130" s="21">
        <f t="shared" si="1"/>
        <v>0</v>
      </c>
    </row>
    <row r="131" s="4" customFormat="1" ht="100" customHeight="1" spans="1:14">
      <c r="A131" s="10">
        <v>128</v>
      </c>
      <c r="B131" s="10" t="s">
        <v>288</v>
      </c>
      <c r="C131" s="10" t="s">
        <v>16</v>
      </c>
      <c r="D131" s="10" t="s">
        <v>328</v>
      </c>
      <c r="E131" s="12" t="s">
        <v>330</v>
      </c>
      <c r="F131" s="10" t="s">
        <v>19</v>
      </c>
      <c r="G131" s="12" t="str">
        <f>_xlfn.DISPIMG("ID_3CEE9D17040449DE9C77F10804E1B397",1)</f>
        <v>=DISPIMG("ID_3CEE9D17040449DE9C77F10804E1B397",1)</v>
      </c>
      <c r="H131" s="10" t="s">
        <v>320</v>
      </c>
      <c r="I131" s="26" t="s">
        <v>306</v>
      </c>
      <c r="J131" s="10" t="s">
        <v>22</v>
      </c>
      <c r="K131" s="10">
        <v>60</v>
      </c>
      <c r="L131" s="20">
        <v>226</v>
      </c>
      <c r="M131" s="21"/>
      <c r="N131" s="21">
        <f t="shared" si="1"/>
        <v>0</v>
      </c>
    </row>
    <row r="132" s="4" customFormat="1" ht="100" customHeight="1" spans="1:14">
      <c r="A132" s="10">
        <v>129</v>
      </c>
      <c r="B132" s="10" t="s">
        <v>288</v>
      </c>
      <c r="C132" s="10" t="s">
        <v>16</v>
      </c>
      <c r="D132" s="10" t="s">
        <v>331</v>
      </c>
      <c r="E132" s="12" t="s">
        <v>332</v>
      </c>
      <c r="F132" s="10" t="s">
        <v>19</v>
      </c>
      <c r="G132" s="12" t="str">
        <f>_xlfn.DISPIMG("ID_43657966F4114E1F9DCD2961296FC0BE",1)</f>
        <v>=DISPIMG("ID_43657966F4114E1F9DCD2961296FC0BE",1)</v>
      </c>
      <c r="H132" s="10" t="s">
        <v>320</v>
      </c>
      <c r="I132" s="26" t="s">
        <v>308</v>
      </c>
      <c r="J132" s="10" t="s">
        <v>22</v>
      </c>
      <c r="K132" s="10">
        <v>60</v>
      </c>
      <c r="L132" s="20">
        <v>248</v>
      </c>
      <c r="M132" s="21"/>
      <c r="N132" s="21">
        <f t="shared" si="1"/>
        <v>0</v>
      </c>
    </row>
    <row r="133" s="4" customFormat="1" ht="100" customHeight="1" spans="1:14">
      <c r="A133" s="10">
        <v>130</v>
      </c>
      <c r="B133" s="10" t="s">
        <v>288</v>
      </c>
      <c r="C133" s="10" t="s">
        <v>16</v>
      </c>
      <c r="D133" s="10" t="s">
        <v>331</v>
      </c>
      <c r="E133" s="10" t="s">
        <v>333</v>
      </c>
      <c r="F133" s="10" t="s">
        <v>19</v>
      </c>
      <c r="G133" s="12" t="str">
        <f>_xlfn.DISPIMG("ID_00AF90B6141E45A3BEE12B2231CC8C02",1)</f>
        <v>=DISPIMG("ID_00AF90B6141E45A3BEE12B2231CC8C02",1)</v>
      </c>
      <c r="H133" s="10" t="s">
        <v>320</v>
      </c>
      <c r="I133" s="26" t="s">
        <v>308</v>
      </c>
      <c r="J133" s="10" t="s">
        <v>22</v>
      </c>
      <c r="K133" s="10">
        <v>60</v>
      </c>
      <c r="L133" s="20">
        <v>328</v>
      </c>
      <c r="M133" s="21"/>
      <c r="N133" s="21">
        <f t="shared" ref="N133:N196" si="2">K133*M133</f>
        <v>0</v>
      </c>
    </row>
    <row r="134" s="4" customFormat="1" ht="100" customHeight="1" spans="1:14">
      <c r="A134" s="10">
        <v>131</v>
      </c>
      <c r="B134" s="10" t="s">
        <v>288</v>
      </c>
      <c r="C134" s="10" t="s">
        <v>16</v>
      </c>
      <c r="D134" s="23" t="s">
        <v>334</v>
      </c>
      <c r="E134" s="23" t="s">
        <v>335</v>
      </c>
      <c r="F134" s="10" t="s">
        <v>19</v>
      </c>
      <c r="G134" s="23" t="str">
        <f>_xlfn.DISPIMG("ID_524542B9DE9643E287718BB858749CC2",1)</f>
        <v>=DISPIMG("ID_524542B9DE9643E287718BB858749CC2",1)</v>
      </c>
      <c r="H134" s="10" t="s">
        <v>320</v>
      </c>
      <c r="I134" s="26" t="s">
        <v>308</v>
      </c>
      <c r="J134" s="10" t="s">
        <v>22</v>
      </c>
      <c r="K134" s="10">
        <v>60</v>
      </c>
      <c r="L134" s="20">
        <v>245</v>
      </c>
      <c r="M134" s="21"/>
      <c r="N134" s="21">
        <f t="shared" si="2"/>
        <v>0</v>
      </c>
    </row>
    <row r="135" s="4" customFormat="1" ht="100" customHeight="1" spans="1:14">
      <c r="A135" s="10">
        <v>132</v>
      </c>
      <c r="B135" s="10" t="s">
        <v>288</v>
      </c>
      <c r="C135" s="10" t="s">
        <v>16</v>
      </c>
      <c r="D135" s="23" t="s">
        <v>334</v>
      </c>
      <c r="E135" s="11" t="s">
        <v>336</v>
      </c>
      <c r="F135" s="10" t="s">
        <v>19</v>
      </c>
      <c r="G135" s="11" t="str">
        <f>_xlfn.DISPIMG("ID_F73F1F6CBA474D12B55D553D37560432",1)</f>
        <v>=DISPIMG("ID_F73F1F6CBA474D12B55D553D37560432",1)</v>
      </c>
      <c r="H135" s="10" t="s">
        <v>320</v>
      </c>
      <c r="I135" s="26" t="s">
        <v>308</v>
      </c>
      <c r="J135" s="10" t="s">
        <v>22</v>
      </c>
      <c r="K135" s="10">
        <v>60</v>
      </c>
      <c r="L135" s="20">
        <v>280</v>
      </c>
      <c r="M135" s="21"/>
      <c r="N135" s="21">
        <f t="shared" si="2"/>
        <v>0</v>
      </c>
    </row>
    <row r="136" s="4" customFormat="1" ht="100" customHeight="1" spans="1:14">
      <c r="A136" s="10">
        <v>133</v>
      </c>
      <c r="B136" s="10" t="s">
        <v>288</v>
      </c>
      <c r="C136" s="10" t="s">
        <v>16</v>
      </c>
      <c r="D136" s="23" t="s">
        <v>334</v>
      </c>
      <c r="E136" s="11" t="s">
        <v>337</v>
      </c>
      <c r="F136" s="11" t="s">
        <v>19</v>
      </c>
      <c r="G136" s="11" t="str">
        <f>_xlfn.DISPIMG("ID_C45B4BF4C1614BFAAE80895BDC0E58D2",1)</f>
        <v>=DISPIMG("ID_C45B4BF4C1614BFAAE80895BDC0E58D2",1)</v>
      </c>
      <c r="H136" s="10" t="s">
        <v>320</v>
      </c>
      <c r="I136" s="26" t="s">
        <v>308</v>
      </c>
      <c r="J136" s="10" t="s">
        <v>22</v>
      </c>
      <c r="K136" s="10">
        <v>60</v>
      </c>
      <c r="L136" s="20">
        <v>272</v>
      </c>
      <c r="M136" s="21"/>
      <c r="N136" s="21">
        <f t="shared" si="2"/>
        <v>0</v>
      </c>
    </row>
    <row r="137" s="4" customFormat="1" ht="100" customHeight="1" spans="1:14">
      <c r="A137" s="10">
        <v>134</v>
      </c>
      <c r="B137" s="10" t="s">
        <v>288</v>
      </c>
      <c r="C137" s="10" t="s">
        <v>16</v>
      </c>
      <c r="D137" s="11" t="s">
        <v>331</v>
      </c>
      <c r="E137" s="11" t="s">
        <v>338</v>
      </c>
      <c r="F137" s="11" t="s">
        <v>19</v>
      </c>
      <c r="G137" s="11" t="str">
        <f>_xlfn.DISPIMG("ID_F3F8092EC15F436E907129772DE90F05",1)</f>
        <v>=DISPIMG("ID_F3F8092EC15F436E907129772DE90F05",1)</v>
      </c>
      <c r="H137" s="10" t="s">
        <v>320</v>
      </c>
      <c r="I137" s="26" t="s">
        <v>308</v>
      </c>
      <c r="J137" s="10" t="s">
        <v>22</v>
      </c>
      <c r="K137" s="10">
        <v>60</v>
      </c>
      <c r="L137" s="20">
        <v>305</v>
      </c>
      <c r="M137" s="21"/>
      <c r="N137" s="21">
        <f t="shared" si="2"/>
        <v>0</v>
      </c>
    </row>
    <row r="138" s="4" customFormat="1" ht="100" customHeight="1" spans="1:14">
      <c r="A138" s="10">
        <v>135</v>
      </c>
      <c r="B138" s="10" t="s">
        <v>288</v>
      </c>
      <c r="C138" s="10" t="s">
        <v>16</v>
      </c>
      <c r="D138" s="11" t="s">
        <v>339</v>
      </c>
      <c r="E138" s="11" t="s">
        <v>340</v>
      </c>
      <c r="F138" s="11" t="s">
        <v>19</v>
      </c>
      <c r="G138" s="11" t="str">
        <f>_xlfn.DISPIMG("ID_8A8771C309A646F9911DD4E636D7E22A",1)</f>
        <v>=DISPIMG("ID_8A8771C309A646F9911DD4E636D7E22A",1)</v>
      </c>
      <c r="H138" s="10" t="s">
        <v>320</v>
      </c>
      <c r="I138" s="26" t="s">
        <v>308</v>
      </c>
      <c r="J138" s="10" t="s">
        <v>22</v>
      </c>
      <c r="K138" s="10">
        <v>60</v>
      </c>
      <c r="L138" s="20">
        <v>245</v>
      </c>
      <c r="M138" s="21"/>
      <c r="N138" s="21">
        <f t="shared" si="2"/>
        <v>0</v>
      </c>
    </row>
    <row r="139" s="4" customFormat="1" ht="100" customHeight="1" spans="1:14">
      <c r="A139" s="10">
        <v>136</v>
      </c>
      <c r="B139" s="10" t="s">
        <v>288</v>
      </c>
      <c r="C139" s="10" t="s">
        <v>16</v>
      </c>
      <c r="D139" s="11" t="s">
        <v>339</v>
      </c>
      <c r="E139" s="11" t="s">
        <v>341</v>
      </c>
      <c r="F139" s="11" t="s">
        <v>19</v>
      </c>
      <c r="G139" s="11" t="str">
        <f>_xlfn.DISPIMG("ID_E818B3404CEA41799E5F4421201D5148",1)</f>
        <v>=DISPIMG("ID_E818B3404CEA41799E5F4421201D5148",1)</v>
      </c>
      <c r="H139" s="10" t="s">
        <v>320</v>
      </c>
      <c r="I139" s="26" t="s">
        <v>308</v>
      </c>
      <c r="J139" s="10" t="s">
        <v>22</v>
      </c>
      <c r="K139" s="10">
        <v>60</v>
      </c>
      <c r="L139" s="20">
        <v>425</v>
      </c>
      <c r="M139" s="21"/>
      <c r="N139" s="21">
        <f t="shared" si="2"/>
        <v>0</v>
      </c>
    </row>
    <row r="140" s="4" customFormat="1" ht="100" customHeight="1" spans="1:14">
      <c r="A140" s="10">
        <v>137</v>
      </c>
      <c r="B140" s="10" t="s">
        <v>288</v>
      </c>
      <c r="C140" s="10" t="s">
        <v>16</v>
      </c>
      <c r="D140" s="11" t="s">
        <v>339</v>
      </c>
      <c r="E140" s="11" t="s">
        <v>342</v>
      </c>
      <c r="F140" s="11" t="s">
        <v>19</v>
      </c>
      <c r="G140" s="11" t="str">
        <f>_xlfn.DISPIMG("ID_EA8AFA6363A84D2A83D1ADF22F4224C7",1)</f>
        <v>=DISPIMG("ID_EA8AFA6363A84D2A83D1ADF22F4224C7",1)</v>
      </c>
      <c r="H140" s="10" t="s">
        <v>320</v>
      </c>
      <c r="I140" s="26" t="s">
        <v>308</v>
      </c>
      <c r="J140" s="10" t="s">
        <v>22</v>
      </c>
      <c r="K140" s="10">
        <v>60</v>
      </c>
      <c r="L140" s="20">
        <v>342</v>
      </c>
      <c r="M140" s="21"/>
      <c r="N140" s="21">
        <f t="shared" si="2"/>
        <v>0</v>
      </c>
    </row>
    <row r="141" s="4" customFormat="1" ht="100" customHeight="1" spans="1:14">
      <c r="A141" s="10">
        <v>138</v>
      </c>
      <c r="B141" s="10" t="s">
        <v>288</v>
      </c>
      <c r="C141" s="10" t="s">
        <v>16</v>
      </c>
      <c r="D141" s="11" t="s">
        <v>339</v>
      </c>
      <c r="E141" s="11" t="s">
        <v>343</v>
      </c>
      <c r="F141" s="11" t="s">
        <v>19</v>
      </c>
      <c r="G141" s="11" t="str">
        <f>_xlfn.DISPIMG("ID_8ED8F9F6FF684A8D95FE49D67BCBB82D",1)</f>
        <v>=DISPIMG("ID_8ED8F9F6FF684A8D95FE49D67BCBB82D",1)</v>
      </c>
      <c r="H141" s="10" t="s">
        <v>320</v>
      </c>
      <c r="I141" s="26" t="s">
        <v>308</v>
      </c>
      <c r="J141" s="10" t="s">
        <v>22</v>
      </c>
      <c r="K141" s="10">
        <v>60</v>
      </c>
      <c r="L141" s="20">
        <v>340</v>
      </c>
      <c r="M141" s="21"/>
      <c r="N141" s="21">
        <f t="shared" si="2"/>
        <v>0</v>
      </c>
    </row>
    <row r="142" s="4" customFormat="1" ht="100" customHeight="1" spans="1:14">
      <c r="A142" s="10">
        <v>139</v>
      </c>
      <c r="B142" s="10" t="s">
        <v>288</v>
      </c>
      <c r="C142" s="10" t="s">
        <v>16</v>
      </c>
      <c r="D142" s="11" t="s">
        <v>344</v>
      </c>
      <c r="E142" s="11" t="s">
        <v>345</v>
      </c>
      <c r="F142" s="11" t="s">
        <v>19</v>
      </c>
      <c r="G142" s="11" t="str">
        <f>_xlfn.DISPIMG("ID_1267232D56C941CFAEEA96C734AD2089",1)</f>
        <v>=DISPIMG("ID_1267232D56C941CFAEEA96C734AD2089",1)</v>
      </c>
      <c r="H142" s="10" t="s">
        <v>320</v>
      </c>
      <c r="I142" s="26" t="s">
        <v>308</v>
      </c>
      <c r="J142" s="10" t="s">
        <v>22</v>
      </c>
      <c r="K142" s="10">
        <v>60</v>
      </c>
      <c r="L142" s="20">
        <v>408</v>
      </c>
      <c r="M142" s="21"/>
      <c r="N142" s="21">
        <f t="shared" si="2"/>
        <v>0</v>
      </c>
    </row>
    <row r="143" s="4" customFormat="1" ht="100" customHeight="1" spans="1:14">
      <c r="A143" s="10">
        <v>140</v>
      </c>
      <c r="B143" s="10" t="s">
        <v>288</v>
      </c>
      <c r="C143" s="10" t="s">
        <v>16</v>
      </c>
      <c r="D143" s="10" t="s">
        <v>339</v>
      </c>
      <c r="E143" s="12" t="s">
        <v>346</v>
      </c>
      <c r="F143" s="11" t="s">
        <v>19</v>
      </c>
      <c r="G143" s="12" t="str">
        <f>_xlfn.DISPIMG("ID_BE47796607AB4816BE81ECD84C91CA7D",1)</f>
        <v>=DISPIMG("ID_BE47796607AB4816BE81ECD84C91CA7D",1)</v>
      </c>
      <c r="H143" s="10" t="s">
        <v>320</v>
      </c>
      <c r="I143" s="10" t="s">
        <v>347</v>
      </c>
      <c r="J143" s="10" t="s">
        <v>22</v>
      </c>
      <c r="K143" s="10">
        <v>60</v>
      </c>
      <c r="L143" s="20">
        <v>328</v>
      </c>
      <c r="M143" s="21"/>
      <c r="N143" s="21">
        <f t="shared" si="2"/>
        <v>0</v>
      </c>
    </row>
    <row r="144" s="4" customFormat="1" ht="100" customHeight="1" spans="1:14">
      <c r="A144" s="10">
        <v>141</v>
      </c>
      <c r="B144" s="10" t="s">
        <v>288</v>
      </c>
      <c r="C144" s="10" t="s">
        <v>16</v>
      </c>
      <c r="D144" s="10" t="s">
        <v>348</v>
      </c>
      <c r="E144" s="12" t="s">
        <v>349</v>
      </c>
      <c r="F144" s="11" t="s">
        <v>19</v>
      </c>
      <c r="G144" s="12" t="str">
        <f>_xlfn.DISPIMG("ID_96A25E0F96234D1B8050B55C0C3ED72B",1)</f>
        <v>=DISPIMG("ID_96A25E0F96234D1B8050B55C0C3ED72B",1)</v>
      </c>
      <c r="H144" s="10" t="s">
        <v>320</v>
      </c>
      <c r="I144" s="10" t="s">
        <v>347</v>
      </c>
      <c r="J144" s="10" t="s">
        <v>22</v>
      </c>
      <c r="K144" s="10">
        <v>60</v>
      </c>
      <c r="L144" s="20">
        <v>296</v>
      </c>
      <c r="M144" s="21"/>
      <c r="N144" s="21">
        <f t="shared" si="2"/>
        <v>0</v>
      </c>
    </row>
    <row r="145" s="4" customFormat="1" ht="100" customHeight="1" spans="1:14">
      <c r="A145" s="10">
        <v>142</v>
      </c>
      <c r="B145" s="10" t="s">
        <v>288</v>
      </c>
      <c r="C145" s="10" t="s">
        <v>16</v>
      </c>
      <c r="D145" s="23" t="s">
        <v>334</v>
      </c>
      <c r="E145" s="11" t="s">
        <v>350</v>
      </c>
      <c r="F145" s="11" t="s">
        <v>19</v>
      </c>
      <c r="G145" s="11" t="str">
        <f>_xlfn.DISPIMG("ID_1659F3645EE64502943599E1C7EDD3B7",1)</f>
        <v>=DISPIMG("ID_1659F3645EE64502943599E1C7EDD3B7",1)</v>
      </c>
      <c r="H145" s="10" t="s">
        <v>320</v>
      </c>
      <c r="I145" s="10" t="s">
        <v>351</v>
      </c>
      <c r="J145" s="10" t="s">
        <v>22</v>
      </c>
      <c r="K145" s="10">
        <v>60</v>
      </c>
      <c r="L145" s="20">
        <v>265</v>
      </c>
      <c r="M145" s="21"/>
      <c r="N145" s="21">
        <f t="shared" si="2"/>
        <v>0</v>
      </c>
    </row>
    <row r="146" s="4" customFormat="1" ht="100" customHeight="1" spans="1:14">
      <c r="A146" s="10">
        <v>143</v>
      </c>
      <c r="B146" s="10" t="s">
        <v>288</v>
      </c>
      <c r="C146" s="10" t="s">
        <v>16</v>
      </c>
      <c r="D146" s="23" t="s">
        <v>334</v>
      </c>
      <c r="E146" s="11" t="s">
        <v>352</v>
      </c>
      <c r="F146" s="11" t="s">
        <v>19</v>
      </c>
      <c r="G146" s="11" t="str">
        <f>_xlfn.DISPIMG("ID_C83A1AC2982F45478751BA245D74FEDE",1)</f>
        <v>=DISPIMG("ID_C83A1AC2982F45478751BA245D74FEDE",1)</v>
      </c>
      <c r="H146" s="10" t="s">
        <v>320</v>
      </c>
      <c r="I146" s="10" t="s">
        <v>351</v>
      </c>
      <c r="J146" s="10" t="s">
        <v>22</v>
      </c>
      <c r="K146" s="10">
        <v>60</v>
      </c>
      <c r="L146" s="20">
        <v>295</v>
      </c>
      <c r="M146" s="21"/>
      <c r="N146" s="21">
        <f t="shared" si="2"/>
        <v>0</v>
      </c>
    </row>
    <row r="147" s="4" customFormat="1" ht="100" customHeight="1" spans="1:14">
      <c r="A147" s="10">
        <v>144</v>
      </c>
      <c r="B147" s="10" t="s">
        <v>288</v>
      </c>
      <c r="C147" s="10" t="s">
        <v>16</v>
      </c>
      <c r="D147" s="11" t="s">
        <v>353</v>
      </c>
      <c r="E147" s="11" t="s">
        <v>354</v>
      </c>
      <c r="F147" s="11" t="s">
        <v>19</v>
      </c>
      <c r="G147" s="11" t="str">
        <f>_xlfn.DISPIMG("ID_A1475E1130AD4EDEB6AE0E2F07D29BDB",1)</f>
        <v>=DISPIMG("ID_A1475E1130AD4EDEB6AE0E2F07D29BDB",1)</v>
      </c>
      <c r="H147" s="10" t="s">
        <v>320</v>
      </c>
      <c r="I147" s="26" t="s">
        <v>308</v>
      </c>
      <c r="J147" s="10" t="s">
        <v>22</v>
      </c>
      <c r="K147" s="10">
        <v>60</v>
      </c>
      <c r="L147" s="20">
        <v>390</v>
      </c>
      <c r="M147" s="21"/>
      <c r="N147" s="21">
        <f t="shared" si="2"/>
        <v>0</v>
      </c>
    </row>
    <row r="148" s="4" customFormat="1" ht="100" customHeight="1" spans="1:14">
      <c r="A148" s="10">
        <v>145</v>
      </c>
      <c r="B148" s="10" t="s">
        <v>288</v>
      </c>
      <c r="C148" s="10" t="s">
        <v>16</v>
      </c>
      <c r="D148" s="11" t="s">
        <v>355</v>
      </c>
      <c r="E148" s="11" t="s">
        <v>356</v>
      </c>
      <c r="F148" s="11" t="s">
        <v>19</v>
      </c>
      <c r="G148" s="11" t="str">
        <f>_xlfn.DISPIMG("ID_BB96F2E2E24E449D883D94F296D00F99",1)</f>
        <v>=DISPIMG("ID_BB96F2E2E24E449D883D94F296D00F99",1)</v>
      </c>
      <c r="H148" s="13" t="s">
        <v>357</v>
      </c>
      <c r="I148" s="10" t="s">
        <v>358</v>
      </c>
      <c r="J148" s="10" t="s">
        <v>22</v>
      </c>
      <c r="K148" s="10">
        <v>60</v>
      </c>
      <c r="L148" s="20">
        <v>49</v>
      </c>
      <c r="M148" s="21"/>
      <c r="N148" s="21">
        <f t="shared" si="2"/>
        <v>0</v>
      </c>
    </row>
    <row r="149" s="4" customFormat="1" ht="100" customHeight="1" spans="1:14">
      <c r="A149" s="10">
        <v>146</v>
      </c>
      <c r="B149" s="10" t="s">
        <v>288</v>
      </c>
      <c r="C149" s="10" t="s">
        <v>16</v>
      </c>
      <c r="D149" s="11" t="s">
        <v>359</v>
      </c>
      <c r="E149" s="11" t="s">
        <v>360</v>
      </c>
      <c r="F149" s="11" t="s">
        <v>19</v>
      </c>
      <c r="G149" s="11" t="str">
        <f>_xlfn.DISPIMG("ID_F5A7D8CF116D429693D52AC4DDC6F9A7",1)</f>
        <v>=DISPIMG("ID_F5A7D8CF116D429693D52AC4DDC6F9A7",1)</v>
      </c>
      <c r="H149" s="13" t="s">
        <v>361</v>
      </c>
      <c r="I149" s="10" t="s">
        <v>358</v>
      </c>
      <c r="J149" s="10" t="s">
        <v>22</v>
      </c>
      <c r="K149" s="10">
        <v>60</v>
      </c>
      <c r="L149" s="20">
        <v>58</v>
      </c>
      <c r="M149" s="21"/>
      <c r="N149" s="21">
        <f t="shared" si="2"/>
        <v>0</v>
      </c>
    </row>
    <row r="150" s="4" customFormat="1" ht="100" customHeight="1" spans="1:14">
      <c r="A150" s="10">
        <v>147</v>
      </c>
      <c r="B150" s="10" t="s">
        <v>288</v>
      </c>
      <c r="C150" s="10" t="s">
        <v>16</v>
      </c>
      <c r="D150" s="10" t="s">
        <v>355</v>
      </c>
      <c r="E150" s="12" t="s">
        <v>362</v>
      </c>
      <c r="F150" s="11" t="s">
        <v>19</v>
      </c>
      <c r="G150" s="12" t="str">
        <f>_xlfn.DISPIMG("ID_A2C3B3CA6A9D4E939FF76B33B0F901CF",1)</f>
        <v>=DISPIMG("ID_A2C3B3CA6A9D4E939FF76B33B0F901CF",1)</v>
      </c>
      <c r="H150" s="13" t="s">
        <v>363</v>
      </c>
      <c r="I150" s="10" t="s">
        <v>358</v>
      </c>
      <c r="J150" s="10" t="s">
        <v>22</v>
      </c>
      <c r="K150" s="10">
        <v>60</v>
      </c>
      <c r="L150" s="20">
        <v>58</v>
      </c>
      <c r="M150" s="21"/>
      <c r="N150" s="21">
        <f t="shared" si="2"/>
        <v>0</v>
      </c>
    </row>
    <row r="151" s="4" customFormat="1" ht="100" customHeight="1" spans="1:14">
      <c r="A151" s="10">
        <v>148</v>
      </c>
      <c r="B151" s="10" t="s">
        <v>288</v>
      </c>
      <c r="C151" s="10" t="s">
        <v>16</v>
      </c>
      <c r="D151" s="11" t="s">
        <v>364</v>
      </c>
      <c r="E151" s="12" t="s">
        <v>365</v>
      </c>
      <c r="F151" s="11" t="s">
        <v>19</v>
      </c>
      <c r="G151" s="11" t="str">
        <f>_xlfn.DISPIMG("ID_A5C2B0DD7595464784506A1489198F27",1)</f>
        <v>=DISPIMG("ID_A5C2B0DD7595464784506A1489198F27",1)</v>
      </c>
      <c r="H151" s="13"/>
      <c r="I151" s="10" t="s">
        <v>358</v>
      </c>
      <c r="J151" s="10" t="s">
        <v>22</v>
      </c>
      <c r="K151" s="10">
        <v>60</v>
      </c>
      <c r="L151" s="20">
        <v>50</v>
      </c>
      <c r="M151" s="21"/>
      <c r="N151" s="21">
        <f t="shared" si="2"/>
        <v>0</v>
      </c>
    </row>
    <row r="152" s="4" customFormat="1" ht="100" customHeight="1" spans="1:14">
      <c r="A152" s="10">
        <v>149</v>
      </c>
      <c r="B152" s="10" t="s">
        <v>366</v>
      </c>
      <c r="C152" s="10" t="s">
        <v>16</v>
      </c>
      <c r="D152" s="11" t="s">
        <v>367</v>
      </c>
      <c r="E152" s="11" t="s">
        <v>368</v>
      </c>
      <c r="F152" s="11" t="s">
        <v>19</v>
      </c>
      <c r="G152" s="11" t="str">
        <f>_xlfn.DISPIMG("ID_90317F13FB6740EE89F3E06F47548774",1)</f>
        <v>=DISPIMG("ID_90317F13FB6740EE89F3E06F47548774",1)</v>
      </c>
      <c r="H152" s="10" t="s">
        <v>369</v>
      </c>
      <c r="I152" s="10" t="s">
        <v>370</v>
      </c>
      <c r="J152" s="10" t="s">
        <v>22</v>
      </c>
      <c r="K152" s="10">
        <v>60</v>
      </c>
      <c r="L152" s="20">
        <v>440</v>
      </c>
      <c r="M152" s="21"/>
      <c r="N152" s="21">
        <f t="shared" si="2"/>
        <v>0</v>
      </c>
    </row>
    <row r="153" s="4" customFormat="1" ht="100" customHeight="1" spans="1:14">
      <c r="A153" s="10">
        <v>150</v>
      </c>
      <c r="B153" s="10" t="s">
        <v>366</v>
      </c>
      <c r="C153" s="10" t="s">
        <v>16</v>
      </c>
      <c r="D153" s="11" t="s">
        <v>371</v>
      </c>
      <c r="E153" s="11" t="s">
        <v>372</v>
      </c>
      <c r="F153" s="11" t="s">
        <v>19</v>
      </c>
      <c r="G153" s="11" t="str">
        <f>_xlfn.DISPIMG("ID_22F576D888864F188E4E463F87D57417",1)</f>
        <v>=DISPIMG("ID_22F576D888864F188E4E463F87D57417",1)</v>
      </c>
      <c r="H153" s="10" t="s">
        <v>373</v>
      </c>
      <c r="I153" s="10" t="s">
        <v>370</v>
      </c>
      <c r="J153" s="10" t="s">
        <v>22</v>
      </c>
      <c r="K153" s="10">
        <v>60</v>
      </c>
      <c r="L153" s="20">
        <v>362</v>
      </c>
      <c r="M153" s="21"/>
      <c r="N153" s="21">
        <f t="shared" si="2"/>
        <v>0</v>
      </c>
    </row>
    <row r="154" s="4" customFormat="1" ht="100" customHeight="1" spans="1:14">
      <c r="A154" s="10">
        <v>151</v>
      </c>
      <c r="B154" s="10" t="s">
        <v>366</v>
      </c>
      <c r="C154" s="10" t="s">
        <v>16</v>
      </c>
      <c r="D154" s="11" t="s">
        <v>374</v>
      </c>
      <c r="E154" s="11" t="s">
        <v>368</v>
      </c>
      <c r="F154" s="11" t="s">
        <v>19</v>
      </c>
      <c r="G154" s="11" t="str">
        <f>_xlfn.DISPIMG("ID_E7BC92B66BDA4921A4D7E5572E1B26BA",1)</f>
        <v>=DISPIMG("ID_E7BC92B66BDA4921A4D7E5572E1B26BA",1)</v>
      </c>
      <c r="H154" s="10" t="s">
        <v>369</v>
      </c>
      <c r="I154" s="10" t="s">
        <v>370</v>
      </c>
      <c r="J154" s="10" t="s">
        <v>22</v>
      </c>
      <c r="K154" s="10">
        <v>60</v>
      </c>
      <c r="L154" s="20">
        <v>440</v>
      </c>
      <c r="M154" s="21"/>
      <c r="N154" s="21">
        <f t="shared" si="2"/>
        <v>0</v>
      </c>
    </row>
    <row r="155" s="4" customFormat="1" ht="100" customHeight="1" spans="1:14">
      <c r="A155" s="10">
        <v>152</v>
      </c>
      <c r="B155" s="10" t="s">
        <v>366</v>
      </c>
      <c r="C155" s="10" t="s">
        <v>16</v>
      </c>
      <c r="D155" s="11" t="s">
        <v>375</v>
      </c>
      <c r="E155" s="11" t="s">
        <v>376</v>
      </c>
      <c r="F155" s="11" t="s">
        <v>19</v>
      </c>
      <c r="G155" s="11" t="str">
        <f>_xlfn.DISPIMG("ID_D4D353D8AD054EBC9BE80C4D654FEFD4",1)</f>
        <v>=DISPIMG("ID_D4D353D8AD054EBC9BE80C4D654FEFD4",1)</v>
      </c>
      <c r="H155" s="10" t="s">
        <v>373</v>
      </c>
      <c r="I155" s="10" t="s">
        <v>377</v>
      </c>
      <c r="J155" s="10" t="s">
        <v>22</v>
      </c>
      <c r="K155" s="10">
        <v>60</v>
      </c>
      <c r="L155" s="20">
        <v>570</v>
      </c>
      <c r="M155" s="21"/>
      <c r="N155" s="21">
        <f t="shared" si="2"/>
        <v>0</v>
      </c>
    </row>
    <row r="156" s="4" customFormat="1" ht="100" customHeight="1" spans="1:14">
      <c r="A156" s="10">
        <v>153</v>
      </c>
      <c r="B156" s="10" t="s">
        <v>366</v>
      </c>
      <c r="C156" s="10" t="s">
        <v>16</v>
      </c>
      <c r="D156" s="11" t="s">
        <v>378</v>
      </c>
      <c r="E156" s="11" t="s">
        <v>379</v>
      </c>
      <c r="F156" s="11" t="s">
        <v>19</v>
      </c>
      <c r="G156" s="11" t="str">
        <f>_xlfn.DISPIMG("ID_9605E2A933D34446AF06DA92D0E3C305",1)</f>
        <v>=DISPIMG("ID_9605E2A933D34446AF06DA92D0E3C305",1)</v>
      </c>
      <c r="H156" s="10" t="s">
        <v>373</v>
      </c>
      <c r="I156" s="10" t="s">
        <v>380</v>
      </c>
      <c r="J156" s="10" t="s">
        <v>22</v>
      </c>
      <c r="K156" s="10">
        <v>60</v>
      </c>
      <c r="L156" s="20">
        <v>380</v>
      </c>
      <c r="M156" s="21"/>
      <c r="N156" s="21">
        <f t="shared" si="2"/>
        <v>0</v>
      </c>
    </row>
    <row r="157" s="4" customFormat="1" ht="100" customHeight="1" spans="1:14">
      <c r="A157" s="10">
        <v>154</v>
      </c>
      <c r="B157" s="10" t="s">
        <v>366</v>
      </c>
      <c r="C157" s="10" t="s">
        <v>16</v>
      </c>
      <c r="D157" s="11" t="s">
        <v>381</v>
      </c>
      <c r="E157" s="11" t="s">
        <v>382</v>
      </c>
      <c r="F157" s="11" t="s">
        <v>19</v>
      </c>
      <c r="G157" s="11" t="str">
        <f>_xlfn.DISPIMG("ID_A6A5C4D01AB3477DA6E4B864227570B8",1)</f>
        <v>=DISPIMG("ID_A6A5C4D01AB3477DA6E4B864227570B8",1)</v>
      </c>
      <c r="H157" s="10" t="s">
        <v>369</v>
      </c>
      <c r="I157" s="10" t="s">
        <v>380</v>
      </c>
      <c r="J157" s="10" t="s">
        <v>22</v>
      </c>
      <c r="K157" s="10">
        <v>60</v>
      </c>
      <c r="L157" s="20">
        <v>670</v>
      </c>
      <c r="M157" s="21"/>
      <c r="N157" s="21">
        <f t="shared" si="2"/>
        <v>0</v>
      </c>
    </row>
    <row r="158" s="4" customFormat="1" ht="100" customHeight="1" spans="1:14">
      <c r="A158" s="10">
        <v>155</v>
      </c>
      <c r="B158" s="10" t="s">
        <v>366</v>
      </c>
      <c r="C158" s="10" t="s">
        <v>16</v>
      </c>
      <c r="D158" s="11" t="s">
        <v>383</v>
      </c>
      <c r="E158" s="11" t="s">
        <v>384</v>
      </c>
      <c r="F158" s="11" t="s">
        <v>19</v>
      </c>
      <c r="G158" s="11" t="str">
        <f>_xlfn.DISPIMG("ID_547D4AC051CD447E96D2DDBB3142D8B9",1)</f>
        <v>=DISPIMG("ID_547D4AC051CD447E96D2DDBB3142D8B9",1)</v>
      </c>
      <c r="H158" s="10" t="s">
        <v>385</v>
      </c>
      <c r="I158" s="10" t="s">
        <v>386</v>
      </c>
      <c r="J158" s="10" t="s">
        <v>22</v>
      </c>
      <c r="K158" s="10">
        <v>60</v>
      </c>
      <c r="L158" s="20">
        <v>750</v>
      </c>
      <c r="M158" s="21"/>
      <c r="N158" s="21">
        <f t="shared" si="2"/>
        <v>0</v>
      </c>
    </row>
    <row r="159" s="4" customFormat="1" ht="100" customHeight="1" spans="1:14">
      <c r="A159" s="10">
        <v>156</v>
      </c>
      <c r="B159" s="10" t="s">
        <v>366</v>
      </c>
      <c r="C159" s="10" t="s">
        <v>16</v>
      </c>
      <c r="D159" s="11" t="s">
        <v>387</v>
      </c>
      <c r="E159" s="11" t="s">
        <v>388</v>
      </c>
      <c r="F159" s="11" t="s">
        <v>19</v>
      </c>
      <c r="G159" s="11" t="str">
        <f>_xlfn.DISPIMG("ID_D60AEFA808C846FC8DEFB46CC64011E6",1)</f>
        <v>=DISPIMG("ID_D60AEFA808C846FC8DEFB46CC64011E6",1)</v>
      </c>
      <c r="H159" s="10" t="s">
        <v>389</v>
      </c>
      <c r="I159" s="10" t="s">
        <v>390</v>
      </c>
      <c r="J159" s="10" t="s">
        <v>22</v>
      </c>
      <c r="K159" s="10">
        <v>60</v>
      </c>
      <c r="L159" s="20">
        <v>780</v>
      </c>
      <c r="M159" s="21"/>
      <c r="N159" s="21">
        <f t="shared" si="2"/>
        <v>0</v>
      </c>
    </row>
    <row r="160" s="4" customFormat="1" ht="100" customHeight="1" spans="1:14">
      <c r="A160" s="10">
        <v>157</v>
      </c>
      <c r="B160" s="10" t="s">
        <v>366</v>
      </c>
      <c r="C160" s="10" t="s">
        <v>16</v>
      </c>
      <c r="D160" s="11" t="s">
        <v>391</v>
      </c>
      <c r="E160" s="11" t="s">
        <v>392</v>
      </c>
      <c r="F160" s="11" t="s">
        <v>19</v>
      </c>
      <c r="G160" s="11" t="str">
        <f>_xlfn.DISPIMG("ID_4C2DF76C293E4BAF9AE333DA0EC6A507",1)</f>
        <v>=DISPIMG("ID_4C2DF76C293E4BAF9AE333DA0EC6A507",1)</v>
      </c>
      <c r="H160" s="10" t="s">
        <v>369</v>
      </c>
      <c r="I160" s="10" t="s">
        <v>393</v>
      </c>
      <c r="J160" s="10" t="s">
        <v>22</v>
      </c>
      <c r="K160" s="10">
        <v>60</v>
      </c>
      <c r="L160" s="20">
        <v>575</v>
      </c>
      <c r="M160" s="21"/>
      <c r="N160" s="21">
        <f t="shared" si="2"/>
        <v>0</v>
      </c>
    </row>
    <row r="161" s="4" customFormat="1" ht="100" customHeight="1" spans="1:14">
      <c r="A161" s="10">
        <v>158</v>
      </c>
      <c r="B161" s="10" t="s">
        <v>366</v>
      </c>
      <c r="C161" s="10" t="s">
        <v>16</v>
      </c>
      <c r="D161" s="11" t="s">
        <v>391</v>
      </c>
      <c r="E161" s="11" t="s">
        <v>394</v>
      </c>
      <c r="F161" s="11" t="s">
        <v>19</v>
      </c>
      <c r="G161" s="11" t="str">
        <f>_xlfn.DISPIMG("ID_05B8933305004B26B5603EB19E81BE04",1)</f>
        <v>=DISPIMG("ID_05B8933305004B26B5603EB19E81BE04",1)</v>
      </c>
      <c r="H161" s="10" t="s">
        <v>369</v>
      </c>
      <c r="I161" s="10" t="s">
        <v>395</v>
      </c>
      <c r="J161" s="10" t="s">
        <v>22</v>
      </c>
      <c r="K161" s="10">
        <v>60</v>
      </c>
      <c r="L161" s="20">
        <v>650</v>
      </c>
      <c r="M161" s="21"/>
      <c r="N161" s="21">
        <f t="shared" si="2"/>
        <v>0</v>
      </c>
    </row>
    <row r="162" s="4" customFormat="1" ht="100" customHeight="1" spans="1:14">
      <c r="A162" s="10">
        <v>159</v>
      </c>
      <c r="B162" s="10" t="s">
        <v>366</v>
      </c>
      <c r="C162" s="10" t="s">
        <v>16</v>
      </c>
      <c r="D162" s="11" t="s">
        <v>396</v>
      </c>
      <c r="E162" s="11" t="s">
        <v>397</v>
      </c>
      <c r="F162" s="11" t="s">
        <v>19</v>
      </c>
      <c r="G162" s="11" t="str">
        <f>_xlfn.DISPIMG("ID_CD2B04ECBE884E34A3CAD4C4B8957EB9",1)</f>
        <v>=DISPIMG("ID_CD2B04ECBE884E34A3CAD4C4B8957EB9",1)</v>
      </c>
      <c r="H162" s="10" t="s">
        <v>398</v>
      </c>
      <c r="I162" s="10" t="s">
        <v>399</v>
      </c>
      <c r="J162" s="10" t="s">
        <v>22</v>
      </c>
      <c r="K162" s="10">
        <v>60</v>
      </c>
      <c r="L162" s="20">
        <v>710</v>
      </c>
      <c r="M162" s="21"/>
      <c r="N162" s="21">
        <f t="shared" si="2"/>
        <v>0</v>
      </c>
    </row>
    <row r="163" s="4" customFormat="1" ht="100" customHeight="1" spans="1:14">
      <c r="A163" s="10">
        <v>160</v>
      </c>
      <c r="B163" s="10" t="s">
        <v>366</v>
      </c>
      <c r="C163" s="10" t="s">
        <v>16</v>
      </c>
      <c r="D163" s="11" t="s">
        <v>396</v>
      </c>
      <c r="E163" s="11" t="s">
        <v>400</v>
      </c>
      <c r="F163" s="11" t="s">
        <v>19</v>
      </c>
      <c r="G163" s="11" t="str">
        <f>_xlfn.DISPIMG("ID_01FBBF67193D468888560936B65803FD",1)</f>
        <v>=DISPIMG("ID_01FBBF67193D468888560936B65803FD",1)</v>
      </c>
      <c r="H163" s="10" t="s">
        <v>398</v>
      </c>
      <c r="I163" s="10" t="s">
        <v>393</v>
      </c>
      <c r="J163" s="10" t="s">
        <v>22</v>
      </c>
      <c r="K163" s="10">
        <v>60</v>
      </c>
      <c r="L163" s="20">
        <v>770</v>
      </c>
      <c r="M163" s="21"/>
      <c r="N163" s="21">
        <f t="shared" si="2"/>
        <v>0</v>
      </c>
    </row>
    <row r="164" s="4" customFormat="1" ht="100" customHeight="1" spans="1:14">
      <c r="A164" s="10">
        <v>161</v>
      </c>
      <c r="B164" s="10" t="s">
        <v>366</v>
      </c>
      <c r="C164" s="10" t="s">
        <v>16</v>
      </c>
      <c r="D164" s="11" t="s">
        <v>396</v>
      </c>
      <c r="E164" s="11" t="s">
        <v>401</v>
      </c>
      <c r="F164" s="11" t="s">
        <v>19</v>
      </c>
      <c r="G164" s="11" t="str">
        <f>_xlfn.DISPIMG("ID_8345456B3127479EB24631182F378593",1)</f>
        <v>=DISPIMG("ID_8345456B3127479EB24631182F378593",1)</v>
      </c>
      <c r="H164" s="10" t="s">
        <v>398</v>
      </c>
      <c r="I164" s="10" t="s">
        <v>393</v>
      </c>
      <c r="J164" s="10" t="s">
        <v>22</v>
      </c>
      <c r="K164" s="10">
        <v>60</v>
      </c>
      <c r="L164" s="20">
        <v>765</v>
      </c>
      <c r="M164" s="21"/>
      <c r="N164" s="21">
        <f t="shared" si="2"/>
        <v>0</v>
      </c>
    </row>
    <row r="165" s="4" customFormat="1" ht="100" customHeight="1" spans="1:14">
      <c r="A165" s="10">
        <v>162</v>
      </c>
      <c r="B165" s="10" t="s">
        <v>366</v>
      </c>
      <c r="C165" s="10" t="s">
        <v>16</v>
      </c>
      <c r="D165" s="11" t="s">
        <v>396</v>
      </c>
      <c r="E165" s="11" t="s">
        <v>402</v>
      </c>
      <c r="F165" s="11" t="s">
        <v>19</v>
      </c>
      <c r="G165" s="11" t="str">
        <f>_xlfn.DISPIMG("ID_F45258D95D0C42E4A54158867D951D71",1)</f>
        <v>=DISPIMG("ID_F45258D95D0C42E4A54158867D951D71",1)</v>
      </c>
      <c r="H165" s="10" t="s">
        <v>398</v>
      </c>
      <c r="I165" s="10" t="s">
        <v>403</v>
      </c>
      <c r="J165" s="10" t="s">
        <v>22</v>
      </c>
      <c r="K165" s="10">
        <v>60</v>
      </c>
      <c r="L165" s="20">
        <v>855</v>
      </c>
      <c r="M165" s="21"/>
      <c r="N165" s="21">
        <f t="shared" si="2"/>
        <v>0</v>
      </c>
    </row>
    <row r="166" s="4" customFormat="1" ht="100" customHeight="1" spans="1:14">
      <c r="A166" s="10">
        <v>163</v>
      </c>
      <c r="B166" s="10" t="s">
        <v>366</v>
      </c>
      <c r="C166" s="10" t="s">
        <v>16</v>
      </c>
      <c r="D166" s="10" t="s">
        <v>404</v>
      </c>
      <c r="E166" s="12" t="s">
        <v>405</v>
      </c>
      <c r="F166" s="11" t="s">
        <v>19</v>
      </c>
      <c r="G166" s="12" t="str">
        <f>_xlfn.DISPIMG("ID_A7B0F19377E240D592EBB50D0705B771",1)</f>
        <v>=DISPIMG("ID_A7B0F19377E240D592EBB50D0705B771",1)</v>
      </c>
      <c r="H166" s="10" t="s">
        <v>398</v>
      </c>
      <c r="I166" s="10" t="s">
        <v>406</v>
      </c>
      <c r="J166" s="10" t="s">
        <v>22</v>
      </c>
      <c r="K166" s="10">
        <v>60</v>
      </c>
      <c r="L166" s="20">
        <v>675</v>
      </c>
      <c r="M166" s="21"/>
      <c r="N166" s="21">
        <f t="shared" si="2"/>
        <v>0</v>
      </c>
    </row>
    <row r="167" s="4" customFormat="1" ht="100" customHeight="1" spans="1:14">
      <c r="A167" s="10">
        <v>164</v>
      </c>
      <c r="B167" s="10" t="s">
        <v>366</v>
      </c>
      <c r="C167" s="10" t="s">
        <v>16</v>
      </c>
      <c r="D167" s="10" t="s">
        <v>407</v>
      </c>
      <c r="E167" s="12" t="s">
        <v>408</v>
      </c>
      <c r="F167" s="11" t="s">
        <v>19</v>
      </c>
      <c r="G167" s="12" t="str">
        <f>_xlfn.DISPIMG("ID_81C4E426933F4B528BC1AA6848B0DC5E",1)</f>
        <v>=DISPIMG("ID_81C4E426933F4B528BC1AA6848B0DC5E",1)</v>
      </c>
      <c r="H167" s="10" t="s">
        <v>398</v>
      </c>
      <c r="I167" s="10" t="s">
        <v>409</v>
      </c>
      <c r="J167" s="10" t="s">
        <v>22</v>
      </c>
      <c r="K167" s="10">
        <v>60</v>
      </c>
      <c r="L167" s="20">
        <v>790</v>
      </c>
      <c r="M167" s="21"/>
      <c r="N167" s="21">
        <f t="shared" si="2"/>
        <v>0</v>
      </c>
    </row>
    <row r="168" s="4" customFormat="1" ht="100" customHeight="1" spans="1:14">
      <c r="A168" s="10">
        <v>165</v>
      </c>
      <c r="B168" s="10" t="s">
        <v>366</v>
      </c>
      <c r="C168" s="10" t="s">
        <v>16</v>
      </c>
      <c r="D168" s="10" t="s">
        <v>407</v>
      </c>
      <c r="E168" s="12" t="s">
        <v>410</v>
      </c>
      <c r="F168" s="11" t="s">
        <v>19</v>
      </c>
      <c r="G168" s="12" t="str">
        <f>_xlfn.DISPIMG("ID_55000534538E4508A90B479F4A3A43E1",1)</f>
        <v>=DISPIMG("ID_55000534538E4508A90B479F4A3A43E1",1)</v>
      </c>
      <c r="H168" s="10" t="s">
        <v>398</v>
      </c>
      <c r="I168" s="10" t="s">
        <v>409</v>
      </c>
      <c r="J168" s="10" t="s">
        <v>22</v>
      </c>
      <c r="K168" s="10">
        <v>60</v>
      </c>
      <c r="L168" s="20">
        <v>790</v>
      </c>
      <c r="M168" s="21"/>
      <c r="N168" s="21">
        <f t="shared" si="2"/>
        <v>0</v>
      </c>
    </row>
    <row r="169" s="4" customFormat="1" ht="100" customHeight="1" spans="1:14">
      <c r="A169" s="10">
        <v>166</v>
      </c>
      <c r="B169" s="10" t="s">
        <v>366</v>
      </c>
      <c r="C169" s="10" t="s">
        <v>16</v>
      </c>
      <c r="D169" s="10" t="s">
        <v>411</v>
      </c>
      <c r="E169" s="11" t="s">
        <v>412</v>
      </c>
      <c r="F169" s="11" t="s">
        <v>19</v>
      </c>
      <c r="G169" s="11" t="str">
        <f>_xlfn.DISPIMG("ID_6449006DCE9041AC874AC5CE5F8492A1",1)</f>
        <v>=DISPIMG("ID_6449006DCE9041AC874AC5CE5F8492A1",1)</v>
      </c>
      <c r="H169" s="10" t="s">
        <v>398</v>
      </c>
      <c r="I169" s="10" t="s">
        <v>413</v>
      </c>
      <c r="J169" s="10" t="s">
        <v>22</v>
      </c>
      <c r="K169" s="10">
        <v>60</v>
      </c>
      <c r="L169" s="20">
        <v>858</v>
      </c>
      <c r="M169" s="21"/>
      <c r="N169" s="21">
        <f t="shared" si="2"/>
        <v>0</v>
      </c>
    </row>
    <row r="170" s="4" customFormat="1" ht="100" customHeight="1" spans="1:14">
      <c r="A170" s="10">
        <v>167</v>
      </c>
      <c r="B170" s="10" t="s">
        <v>366</v>
      </c>
      <c r="C170" s="10" t="s">
        <v>16</v>
      </c>
      <c r="D170" s="11" t="s">
        <v>414</v>
      </c>
      <c r="E170" s="11" t="s">
        <v>415</v>
      </c>
      <c r="F170" s="11" t="s">
        <v>19</v>
      </c>
      <c r="G170" s="11" t="str">
        <f>_xlfn.DISPIMG("ID_3FD8FEA250D34C1EB250B49B8289C0E8",1)</f>
        <v>=DISPIMG("ID_3FD8FEA250D34C1EB250B49B8289C0E8",1)</v>
      </c>
      <c r="H170" s="10" t="s">
        <v>398</v>
      </c>
      <c r="I170" s="10" t="s">
        <v>393</v>
      </c>
      <c r="J170" s="10" t="s">
        <v>22</v>
      </c>
      <c r="K170" s="10">
        <v>60</v>
      </c>
      <c r="L170" s="20">
        <v>760</v>
      </c>
      <c r="M170" s="21"/>
      <c r="N170" s="21">
        <f t="shared" si="2"/>
        <v>0</v>
      </c>
    </row>
    <row r="171" s="4" customFormat="1" ht="100" customHeight="1" spans="1:14">
      <c r="A171" s="10">
        <v>168</v>
      </c>
      <c r="B171" s="10" t="s">
        <v>366</v>
      </c>
      <c r="C171" s="10" t="s">
        <v>16</v>
      </c>
      <c r="D171" s="11" t="s">
        <v>416</v>
      </c>
      <c r="E171" s="11" t="s">
        <v>417</v>
      </c>
      <c r="F171" s="11" t="s">
        <v>19</v>
      </c>
      <c r="G171" s="11" t="str">
        <f>_xlfn.DISPIMG("ID_5EEBF27271E54C0585C7AE405B723B49",1)</f>
        <v>=DISPIMG("ID_5EEBF27271E54C0585C7AE405B723B49",1)</v>
      </c>
      <c r="H171" s="10" t="s">
        <v>398</v>
      </c>
      <c r="I171" s="10" t="s">
        <v>393</v>
      </c>
      <c r="J171" s="10" t="s">
        <v>22</v>
      </c>
      <c r="K171" s="10">
        <v>60</v>
      </c>
      <c r="L171" s="20">
        <v>1120</v>
      </c>
      <c r="M171" s="21"/>
      <c r="N171" s="21">
        <f t="shared" si="2"/>
        <v>0</v>
      </c>
    </row>
    <row r="172" s="4" customFormat="1" ht="100" customHeight="1" spans="1:14">
      <c r="A172" s="10">
        <v>169</v>
      </c>
      <c r="B172" s="10" t="s">
        <v>366</v>
      </c>
      <c r="C172" s="10" t="s">
        <v>16</v>
      </c>
      <c r="D172" s="11" t="s">
        <v>416</v>
      </c>
      <c r="E172" s="11" t="s">
        <v>418</v>
      </c>
      <c r="F172" s="11" t="s">
        <v>19</v>
      </c>
      <c r="G172" s="11" t="str">
        <f>_xlfn.DISPIMG("ID_7592BBF967484748BB3A827EEDF039A9",1)</f>
        <v>=DISPIMG("ID_7592BBF967484748BB3A827EEDF039A9",1)</v>
      </c>
      <c r="H172" s="10" t="s">
        <v>419</v>
      </c>
      <c r="I172" s="10" t="s">
        <v>420</v>
      </c>
      <c r="J172" s="10" t="s">
        <v>22</v>
      </c>
      <c r="K172" s="10">
        <v>60</v>
      </c>
      <c r="L172" s="20">
        <v>1630</v>
      </c>
      <c r="M172" s="21"/>
      <c r="N172" s="21">
        <f t="shared" si="2"/>
        <v>0</v>
      </c>
    </row>
    <row r="173" s="4" customFormat="1" ht="100" customHeight="1" spans="1:14">
      <c r="A173" s="10">
        <v>170</v>
      </c>
      <c r="B173" s="10" t="s">
        <v>366</v>
      </c>
      <c r="C173" s="10" t="s">
        <v>16</v>
      </c>
      <c r="D173" s="11" t="s">
        <v>416</v>
      </c>
      <c r="E173" s="11" t="s">
        <v>421</v>
      </c>
      <c r="F173" s="11" t="s">
        <v>19</v>
      </c>
      <c r="G173" s="11" t="str">
        <f>_xlfn.DISPIMG("ID_CFFA4DCADEF0480AAC75CA88C5D8C725",1)</f>
        <v>=DISPIMG("ID_CFFA4DCADEF0480AAC75CA88C5D8C725",1)</v>
      </c>
      <c r="H173" s="10" t="s">
        <v>419</v>
      </c>
      <c r="I173" s="10" t="s">
        <v>420</v>
      </c>
      <c r="J173" s="10" t="s">
        <v>22</v>
      </c>
      <c r="K173" s="10">
        <v>60</v>
      </c>
      <c r="L173" s="20">
        <v>1230</v>
      </c>
      <c r="M173" s="21"/>
      <c r="N173" s="21">
        <f t="shared" si="2"/>
        <v>0</v>
      </c>
    </row>
    <row r="174" s="4" customFormat="1" ht="100" customHeight="1" spans="1:14">
      <c r="A174" s="10">
        <v>171</v>
      </c>
      <c r="B174" s="10" t="s">
        <v>366</v>
      </c>
      <c r="C174" s="10" t="s">
        <v>16</v>
      </c>
      <c r="D174" s="11" t="s">
        <v>422</v>
      </c>
      <c r="E174" s="11" t="s">
        <v>423</v>
      </c>
      <c r="F174" s="11" t="s">
        <v>19</v>
      </c>
      <c r="G174" s="11" t="str">
        <f>_xlfn.DISPIMG("ID_DAAC1D2D92D0418189523B4B076F7BF6",1)</f>
        <v>=DISPIMG("ID_DAAC1D2D92D0418189523B4B076F7BF6",1)</v>
      </c>
      <c r="H174" s="10" t="s">
        <v>424</v>
      </c>
      <c r="I174" s="10" t="s">
        <v>380</v>
      </c>
      <c r="J174" s="10" t="s">
        <v>22</v>
      </c>
      <c r="K174" s="10">
        <v>60</v>
      </c>
      <c r="L174" s="20">
        <v>830</v>
      </c>
      <c r="M174" s="21"/>
      <c r="N174" s="21">
        <f t="shared" si="2"/>
        <v>0</v>
      </c>
    </row>
    <row r="175" s="4" customFormat="1" ht="100" customHeight="1" spans="1:14">
      <c r="A175" s="10">
        <v>172</v>
      </c>
      <c r="B175" s="10" t="s">
        <v>366</v>
      </c>
      <c r="C175" s="10" t="s">
        <v>16</v>
      </c>
      <c r="D175" s="11" t="s">
        <v>425</v>
      </c>
      <c r="E175" s="11" t="s">
        <v>426</v>
      </c>
      <c r="F175" s="11" t="s">
        <v>19</v>
      </c>
      <c r="G175" s="11" t="str">
        <f>_xlfn.DISPIMG("ID_7BB12BDFA6924C8694CEDF28D104C9A6",1)</f>
        <v>=DISPIMG("ID_7BB12BDFA6924C8694CEDF28D104C9A6",1)</v>
      </c>
      <c r="H175" s="10" t="s">
        <v>427</v>
      </c>
      <c r="I175" s="10" t="s">
        <v>428</v>
      </c>
      <c r="J175" s="10" t="s">
        <v>22</v>
      </c>
      <c r="K175" s="10">
        <v>60</v>
      </c>
      <c r="L175" s="20">
        <v>78</v>
      </c>
      <c r="M175" s="21"/>
      <c r="N175" s="21">
        <f t="shared" si="2"/>
        <v>0</v>
      </c>
    </row>
    <row r="176" s="4" customFormat="1" ht="100" customHeight="1" spans="1:14">
      <c r="A176" s="10">
        <v>173</v>
      </c>
      <c r="B176" s="10" t="s">
        <v>366</v>
      </c>
      <c r="C176" s="10" t="s">
        <v>16</v>
      </c>
      <c r="D176" s="11" t="s">
        <v>425</v>
      </c>
      <c r="E176" s="11" t="s">
        <v>429</v>
      </c>
      <c r="F176" s="11" t="s">
        <v>19</v>
      </c>
      <c r="G176" s="11" t="str">
        <f>_xlfn.DISPIMG("ID_671C827E60D64381A7C95513F06781A8",1)</f>
        <v>=DISPIMG("ID_671C827E60D64381A7C95513F06781A8",1)</v>
      </c>
      <c r="H176" s="10" t="s">
        <v>427</v>
      </c>
      <c r="I176" s="10" t="s">
        <v>428</v>
      </c>
      <c r="J176" s="10" t="s">
        <v>22</v>
      </c>
      <c r="K176" s="10">
        <v>60</v>
      </c>
      <c r="L176" s="20">
        <v>78</v>
      </c>
      <c r="M176" s="21"/>
      <c r="N176" s="21">
        <f t="shared" si="2"/>
        <v>0</v>
      </c>
    </row>
    <row r="177" s="4" customFormat="1" ht="100" customHeight="1" spans="1:14">
      <c r="A177" s="10">
        <v>174</v>
      </c>
      <c r="B177" s="10" t="s">
        <v>430</v>
      </c>
      <c r="C177" s="10" t="s">
        <v>16</v>
      </c>
      <c r="D177" s="11" t="s">
        <v>431</v>
      </c>
      <c r="E177" s="11" t="s">
        <v>432</v>
      </c>
      <c r="F177" s="11" t="s">
        <v>19</v>
      </c>
      <c r="G177" s="11" t="str">
        <f>_xlfn.DISPIMG("ID_D05118FED6DD4E368781C2EC4529A03A",1)</f>
        <v>=DISPIMG("ID_D05118FED6DD4E368781C2EC4529A03A",1)</v>
      </c>
      <c r="H177" s="10" t="s">
        <v>433</v>
      </c>
      <c r="I177" s="13" t="s">
        <v>434</v>
      </c>
      <c r="J177" s="10" t="s">
        <v>22</v>
      </c>
      <c r="K177" s="10">
        <v>60</v>
      </c>
      <c r="L177" s="20">
        <v>670</v>
      </c>
      <c r="M177" s="21"/>
      <c r="N177" s="21">
        <f t="shared" si="2"/>
        <v>0</v>
      </c>
    </row>
    <row r="178" s="4" customFormat="1" ht="100" customHeight="1" spans="1:14">
      <c r="A178" s="10">
        <v>175</v>
      </c>
      <c r="B178" s="10" t="s">
        <v>430</v>
      </c>
      <c r="C178" s="10" t="s">
        <v>16</v>
      </c>
      <c r="D178" s="11" t="s">
        <v>435</v>
      </c>
      <c r="E178" s="11" t="s">
        <v>436</v>
      </c>
      <c r="F178" s="11" t="s">
        <v>19</v>
      </c>
      <c r="G178" s="11" t="str">
        <f>_xlfn.DISPIMG("ID_8A235A9B9263448DB5D25D1341EDA1C2",1)</f>
        <v>=DISPIMG("ID_8A235A9B9263448DB5D25D1341EDA1C2",1)</v>
      </c>
      <c r="H178" s="10" t="s">
        <v>433</v>
      </c>
      <c r="I178" s="13" t="s">
        <v>437</v>
      </c>
      <c r="J178" s="10" t="s">
        <v>22</v>
      </c>
      <c r="K178" s="10">
        <v>60</v>
      </c>
      <c r="L178" s="20">
        <v>640</v>
      </c>
      <c r="M178" s="21"/>
      <c r="N178" s="21">
        <f t="shared" si="2"/>
        <v>0</v>
      </c>
    </row>
    <row r="179" s="4" customFormat="1" ht="100" customHeight="1" spans="1:14">
      <c r="A179" s="10">
        <v>176</v>
      </c>
      <c r="B179" s="10" t="s">
        <v>430</v>
      </c>
      <c r="C179" s="10" t="s">
        <v>16</v>
      </c>
      <c r="D179" s="11" t="s">
        <v>431</v>
      </c>
      <c r="E179" s="23" t="s">
        <v>438</v>
      </c>
      <c r="F179" s="11" t="s">
        <v>19</v>
      </c>
      <c r="G179" s="11" t="str">
        <f>_xlfn.DISPIMG("ID_AB1C325029EC41F1B3A6D0FEF5A14449",1)</f>
        <v>=DISPIMG("ID_AB1C325029EC41F1B3A6D0FEF5A14449",1)</v>
      </c>
      <c r="H179" s="23" t="s">
        <v>439</v>
      </c>
      <c r="I179" s="23" t="s">
        <v>440</v>
      </c>
      <c r="J179" s="10" t="s">
        <v>22</v>
      </c>
      <c r="K179" s="10">
        <v>60</v>
      </c>
      <c r="L179" s="20">
        <v>690</v>
      </c>
      <c r="M179" s="21"/>
      <c r="N179" s="21">
        <f t="shared" si="2"/>
        <v>0</v>
      </c>
    </row>
    <row r="180" s="4" customFormat="1" ht="100" customHeight="1" spans="1:14">
      <c r="A180" s="10">
        <v>177</v>
      </c>
      <c r="B180" s="10" t="s">
        <v>430</v>
      </c>
      <c r="C180" s="10" t="s">
        <v>16</v>
      </c>
      <c r="D180" s="11" t="s">
        <v>431</v>
      </c>
      <c r="E180" s="23" t="s">
        <v>441</v>
      </c>
      <c r="F180" s="11" t="s">
        <v>19</v>
      </c>
      <c r="G180" s="11" t="str">
        <f>_xlfn.DISPIMG("ID_020AFB22C5944F7AB9F1297C18E0A950",1)</f>
        <v>=DISPIMG("ID_020AFB22C5944F7AB9F1297C18E0A950",1)</v>
      </c>
      <c r="H180" s="23" t="s">
        <v>442</v>
      </c>
      <c r="I180" s="23" t="s">
        <v>443</v>
      </c>
      <c r="J180" s="10" t="s">
        <v>22</v>
      </c>
      <c r="K180" s="10">
        <v>60</v>
      </c>
      <c r="L180" s="20">
        <v>670</v>
      </c>
      <c r="M180" s="21"/>
      <c r="N180" s="21">
        <f t="shared" si="2"/>
        <v>0</v>
      </c>
    </row>
    <row r="181" s="4" customFormat="1" ht="100" customHeight="1" spans="1:14">
      <c r="A181" s="10">
        <v>178</v>
      </c>
      <c r="B181" s="10" t="s">
        <v>430</v>
      </c>
      <c r="C181" s="10" t="s">
        <v>16</v>
      </c>
      <c r="D181" s="11" t="s">
        <v>431</v>
      </c>
      <c r="E181" s="23" t="s">
        <v>444</v>
      </c>
      <c r="F181" s="11" t="s">
        <v>19</v>
      </c>
      <c r="G181" s="27" t="str">
        <f>_xlfn.DISPIMG("ID_59C02BA9460E4BEAA8078CE5D2DDAE98",1)</f>
        <v>=DISPIMG("ID_59C02BA9460E4BEAA8078CE5D2DDAE98",1)</v>
      </c>
      <c r="H181" s="23" t="s">
        <v>445</v>
      </c>
      <c r="I181" s="23" t="s">
        <v>446</v>
      </c>
      <c r="J181" s="10" t="s">
        <v>22</v>
      </c>
      <c r="K181" s="10">
        <v>60</v>
      </c>
      <c r="L181" s="20">
        <v>685</v>
      </c>
      <c r="M181" s="21"/>
      <c r="N181" s="21">
        <f t="shared" si="2"/>
        <v>0</v>
      </c>
    </row>
    <row r="182" s="4" customFormat="1" ht="100" customHeight="1" spans="1:14">
      <c r="A182" s="10">
        <v>179</v>
      </c>
      <c r="B182" s="10" t="s">
        <v>430</v>
      </c>
      <c r="C182" s="10" t="s">
        <v>16</v>
      </c>
      <c r="D182" s="11" t="s">
        <v>430</v>
      </c>
      <c r="E182" s="11" t="s">
        <v>447</v>
      </c>
      <c r="F182" s="11" t="s">
        <v>19</v>
      </c>
      <c r="G182" s="11" t="str">
        <f>_xlfn.DISPIMG("ID_AAC23C0D75FD4FCFBF84D90BD2B269F3",1)</f>
        <v>=DISPIMG("ID_AAC23C0D75FD4FCFBF84D90BD2B269F3",1)</v>
      </c>
      <c r="H182" s="23" t="s">
        <v>448</v>
      </c>
      <c r="I182" s="13" t="s">
        <v>449</v>
      </c>
      <c r="J182" s="10" t="s">
        <v>22</v>
      </c>
      <c r="K182" s="10">
        <v>60</v>
      </c>
      <c r="L182" s="20">
        <v>520</v>
      </c>
      <c r="M182" s="21"/>
      <c r="N182" s="21">
        <f t="shared" si="2"/>
        <v>0</v>
      </c>
    </row>
    <row r="183" s="4" customFormat="1" ht="100" customHeight="1" spans="1:14">
      <c r="A183" s="10">
        <v>180</v>
      </c>
      <c r="B183" s="10" t="s">
        <v>430</v>
      </c>
      <c r="C183" s="10" t="s">
        <v>16</v>
      </c>
      <c r="D183" s="11" t="s">
        <v>450</v>
      </c>
      <c r="E183" s="11" t="s">
        <v>451</v>
      </c>
      <c r="F183" s="11" t="s">
        <v>19</v>
      </c>
      <c r="G183" s="11" t="str">
        <f>_xlfn.DISPIMG("ID_4F1D2775512645E5B28C2676DCD17273",1)</f>
        <v>=DISPIMG("ID_4F1D2775512645E5B28C2676DCD17273",1)</v>
      </c>
      <c r="H183" s="13" t="s">
        <v>452</v>
      </c>
      <c r="I183" s="13" t="s">
        <v>453</v>
      </c>
      <c r="J183" s="10" t="s">
        <v>22</v>
      </c>
      <c r="K183" s="10">
        <v>60</v>
      </c>
      <c r="L183" s="20">
        <v>465</v>
      </c>
      <c r="M183" s="21"/>
      <c r="N183" s="21">
        <f t="shared" si="2"/>
        <v>0</v>
      </c>
    </row>
    <row r="184" s="4" customFormat="1" ht="100" customHeight="1" spans="1:14">
      <c r="A184" s="10">
        <v>181</v>
      </c>
      <c r="B184" s="10" t="s">
        <v>430</v>
      </c>
      <c r="C184" s="10" t="s">
        <v>16</v>
      </c>
      <c r="D184" s="11" t="s">
        <v>454</v>
      </c>
      <c r="E184" s="11" t="s">
        <v>455</v>
      </c>
      <c r="F184" s="11" t="s">
        <v>19</v>
      </c>
      <c r="G184" s="11" t="str">
        <f>_xlfn.DISPIMG("ID_EF77DDF5002249F492F640472D3E49BF",1)</f>
        <v>=DISPIMG("ID_EF77DDF5002249F492F640472D3E49BF",1)</v>
      </c>
      <c r="H184" s="23" t="s">
        <v>456</v>
      </c>
      <c r="I184" s="13" t="s">
        <v>449</v>
      </c>
      <c r="J184" s="10" t="s">
        <v>22</v>
      </c>
      <c r="K184" s="10">
        <v>60</v>
      </c>
      <c r="L184" s="20">
        <v>495</v>
      </c>
      <c r="M184" s="21"/>
      <c r="N184" s="21">
        <f t="shared" si="2"/>
        <v>0</v>
      </c>
    </row>
    <row r="185" s="4" customFormat="1" ht="100" customHeight="1" spans="1:14">
      <c r="A185" s="10">
        <v>182</v>
      </c>
      <c r="B185" s="10" t="s">
        <v>430</v>
      </c>
      <c r="C185" s="10" t="s">
        <v>16</v>
      </c>
      <c r="D185" s="11" t="s">
        <v>454</v>
      </c>
      <c r="E185" s="11" t="s">
        <v>457</v>
      </c>
      <c r="F185" s="11" t="s">
        <v>19</v>
      </c>
      <c r="G185" s="11" t="str">
        <f>_xlfn.DISPIMG("ID_E20B724EF289427792736D728F451701",1)</f>
        <v>=DISPIMG("ID_E20B724EF289427792736D728F451701",1)</v>
      </c>
      <c r="H185" s="23" t="s">
        <v>456</v>
      </c>
      <c r="I185" s="13" t="s">
        <v>449</v>
      </c>
      <c r="J185" s="10" t="s">
        <v>22</v>
      </c>
      <c r="K185" s="10">
        <v>60</v>
      </c>
      <c r="L185" s="20">
        <v>495</v>
      </c>
      <c r="M185" s="21"/>
      <c r="N185" s="21">
        <f t="shared" si="2"/>
        <v>0</v>
      </c>
    </row>
    <row r="186" s="4" customFormat="1" ht="100" customHeight="1" spans="1:14">
      <c r="A186" s="10">
        <v>183</v>
      </c>
      <c r="B186" s="10" t="s">
        <v>430</v>
      </c>
      <c r="C186" s="10" t="s">
        <v>16</v>
      </c>
      <c r="D186" s="11" t="s">
        <v>450</v>
      </c>
      <c r="E186" s="11" t="s">
        <v>458</v>
      </c>
      <c r="F186" s="11" t="s">
        <v>19</v>
      </c>
      <c r="G186" s="11" t="str">
        <f>_xlfn.DISPIMG("ID_89295D90516F4B8EB62F1CB85173106B",1)</f>
        <v>=DISPIMG("ID_89295D90516F4B8EB62F1CB85173106B",1)</v>
      </c>
      <c r="H186" s="13" t="s">
        <v>459</v>
      </c>
      <c r="I186" s="13" t="s">
        <v>453</v>
      </c>
      <c r="J186" s="10" t="s">
        <v>22</v>
      </c>
      <c r="K186" s="10">
        <v>60</v>
      </c>
      <c r="L186" s="20">
        <v>545</v>
      </c>
      <c r="M186" s="21"/>
      <c r="N186" s="21">
        <f t="shared" si="2"/>
        <v>0</v>
      </c>
    </row>
    <row r="187" s="4" customFormat="1" ht="100" customHeight="1" spans="1:14">
      <c r="A187" s="10">
        <v>184</v>
      </c>
      <c r="B187" s="10" t="s">
        <v>430</v>
      </c>
      <c r="C187" s="10" t="s">
        <v>16</v>
      </c>
      <c r="D187" s="11" t="s">
        <v>450</v>
      </c>
      <c r="E187" s="11" t="s">
        <v>460</v>
      </c>
      <c r="F187" s="11" t="s">
        <v>19</v>
      </c>
      <c r="G187" s="11" t="str">
        <f>_xlfn.DISPIMG("ID_3A4E369D24554F1D9A116DF54EA9193C",1)</f>
        <v>=DISPIMG("ID_3A4E369D24554F1D9A116DF54EA9193C",1)</v>
      </c>
      <c r="H187" s="11" t="s">
        <v>459</v>
      </c>
      <c r="I187" s="11" t="s">
        <v>461</v>
      </c>
      <c r="J187" s="10" t="s">
        <v>22</v>
      </c>
      <c r="K187" s="10">
        <v>60</v>
      </c>
      <c r="L187" s="20">
        <v>550</v>
      </c>
      <c r="M187" s="21"/>
      <c r="N187" s="21">
        <f t="shared" si="2"/>
        <v>0</v>
      </c>
    </row>
    <row r="188" s="4" customFormat="1" ht="100" customHeight="1" spans="1:14">
      <c r="A188" s="10">
        <v>185</v>
      </c>
      <c r="B188" s="10" t="s">
        <v>430</v>
      </c>
      <c r="C188" s="10" t="s">
        <v>16</v>
      </c>
      <c r="D188" s="11" t="s">
        <v>450</v>
      </c>
      <c r="E188" s="11" t="s">
        <v>462</v>
      </c>
      <c r="F188" s="11" t="s">
        <v>19</v>
      </c>
      <c r="G188" s="11" t="str">
        <f>_xlfn.DISPIMG("ID_0E9D9C59EC3D47F196B84FCC4E3266EC",1)</f>
        <v>=DISPIMG("ID_0E9D9C59EC3D47F196B84FCC4E3266EC",1)</v>
      </c>
      <c r="H188" s="11" t="s">
        <v>463</v>
      </c>
      <c r="I188" s="11" t="s">
        <v>464</v>
      </c>
      <c r="J188" s="10" t="s">
        <v>22</v>
      </c>
      <c r="K188" s="10">
        <v>60</v>
      </c>
      <c r="L188" s="20">
        <v>520</v>
      </c>
      <c r="M188" s="21"/>
      <c r="N188" s="21">
        <f t="shared" si="2"/>
        <v>0</v>
      </c>
    </row>
    <row r="189" s="4" customFormat="1" ht="100" customHeight="1" spans="1:14">
      <c r="A189" s="10">
        <v>186</v>
      </c>
      <c r="B189" s="10" t="s">
        <v>430</v>
      </c>
      <c r="C189" s="10" t="s">
        <v>16</v>
      </c>
      <c r="D189" s="11" t="s">
        <v>450</v>
      </c>
      <c r="E189" s="11" t="s">
        <v>465</v>
      </c>
      <c r="F189" s="11" t="s">
        <v>19</v>
      </c>
      <c r="G189" s="11" t="str">
        <f>_xlfn.DISPIMG("ID_90A7DB3664C74EBAB488AE7E33EA5C70",1)</f>
        <v>=DISPIMG("ID_90A7DB3664C74EBAB488AE7E33EA5C70",1)</v>
      </c>
      <c r="H189" s="11" t="s">
        <v>466</v>
      </c>
      <c r="I189" s="11" t="s">
        <v>467</v>
      </c>
      <c r="J189" s="10" t="s">
        <v>22</v>
      </c>
      <c r="K189" s="10">
        <v>60</v>
      </c>
      <c r="L189" s="20">
        <v>540</v>
      </c>
      <c r="M189" s="21"/>
      <c r="N189" s="21">
        <f t="shared" si="2"/>
        <v>0</v>
      </c>
    </row>
    <row r="190" s="4" customFormat="1" ht="100" customHeight="1" spans="1:14">
      <c r="A190" s="10">
        <v>187</v>
      </c>
      <c r="B190" s="10" t="s">
        <v>430</v>
      </c>
      <c r="C190" s="10" t="s">
        <v>16</v>
      </c>
      <c r="D190" s="11" t="s">
        <v>450</v>
      </c>
      <c r="E190" s="11" t="s">
        <v>468</v>
      </c>
      <c r="F190" s="11" t="s">
        <v>19</v>
      </c>
      <c r="G190" s="11" t="str">
        <f>_xlfn.DISPIMG("ID_27DDF369841F4338A915DA5FEEA703CD",1)</f>
        <v>=DISPIMG("ID_27DDF369841F4338A915DA5FEEA703CD",1)</v>
      </c>
      <c r="H190" s="11" t="s">
        <v>466</v>
      </c>
      <c r="I190" s="11" t="s">
        <v>467</v>
      </c>
      <c r="J190" s="10" t="s">
        <v>22</v>
      </c>
      <c r="K190" s="10">
        <v>60</v>
      </c>
      <c r="L190" s="20">
        <v>535</v>
      </c>
      <c r="M190" s="21"/>
      <c r="N190" s="21">
        <f t="shared" si="2"/>
        <v>0</v>
      </c>
    </row>
    <row r="191" s="4" customFormat="1" ht="100" customHeight="1" spans="1:14">
      <c r="A191" s="10">
        <v>188</v>
      </c>
      <c r="B191" s="10" t="s">
        <v>430</v>
      </c>
      <c r="C191" s="10" t="s">
        <v>16</v>
      </c>
      <c r="D191" s="11" t="s">
        <v>469</v>
      </c>
      <c r="E191" s="11" t="s">
        <v>470</v>
      </c>
      <c r="F191" s="11" t="s">
        <v>19</v>
      </c>
      <c r="G191" s="11" t="str">
        <f>_xlfn.DISPIMG("ID_2DCF4733772B475DBE473FBE2F64FD0E",1)</f>
        <v>=DISPIMG("ID_2DCF4733772B475DBE473FBE2F64FD0E",1)</v>
      </c>
      <c r="H191" s="11" t="s">
        <v>466</v>
      </c>
      <c r="I191" s="11" t="s">
        <v>471</v>
      </c>
      <c r="J191" s="10" t="s">
        <v>22</v>
      </c>
      <c r="K191" s="10">
        <v>60</v>
      </c>
      <c r="L191" s="20">
        <v>540</v>
      </c>
      <c r="M191" s="21"/>
      <c r="N191" s="21">
        <f t="shared" si="2"/>
        <v>0</v>
      </c>
    </row>
    <row r="192" s="4" customFormat="1" ht="100" customHeight="1" spans="1:14">
      <c r="A192" s="10">
        <v>189</v>
      </c>
      <c r="B192" s="10" t="s">
        <v>472</v>
      </c>
      <c r="C192" s="10" t="s">
        <v>16</v>
      </c>
      <c r="D192" s="11" t="s">
        <v>473</v>
      </c>
      <c r="E192" s="11" t="s">
        <v>474</v>
      </c>
      <c r="F192" s="11" t="s">
        <v>19</v>
      </c>
      <c r="G192" s="11" t="str">
        <f>_xlfn.DISPIMG("ID_E4B3324C79C7442786561169E13C7562",1)</f>
        <v>=DISPIMG("ID_E4B3324C79C7442786561169E13C7562",1)</v>
      </c>
      <c r="H192" s="13" t="s">
        <v>475</v>
      </c>
      <c r="I192" s="10" t="s">
        <v>219</v>
      </c>
      <c r="J192" s="10" t="s">
        <v>22</v>
      </c>
      <c r="K192" s="10">
        <v>60</v>
      </c>
      <c r="L192" s="20">
        <v>370</v>
      </c>
      <c r="M192" s="21"/>
      <c r="N192" s="21">
        <f t="shared" si="2"/>
        <v>0</v>
      </c>
    </row>
    <row r="193" s="4" customFormat="1" ht="100" customHeight="1" spans="1:14">
      <c r="A193" s="10">
        <v>190</v>
      </c>
      <c r="B193" s="10" t="s">
        <v>472</v>
      </c>
      <c r="C193" s="10" t="s">
        <v>16</v>
      </c>
      <c r="D193" s="11" t="s">
        <v>473</v>
      </c>
      <c r="E193" s="11" t="s">
        <v>476</v>
      </c>
      <c r="F193" s="11" t="s">
        <v>19</v>
      </c>
      <c r="G193" s="11" t="str">
        <f>_xlfn.DISPIMG("ID_697E822C39C74663B6EC1C66493A8093",1)</f>
        <v>=DISPIMG("ID_697E822C39C74663B6EC1C66493A8093",1)</v>
      </c>
      <c r="H193" s="13" t="s">
        <v>477</v>
      </c>
      <c r="I193" s="10" t="s">
        <v>219</v>
      </c>
      <c r="J193" s="10" t="s">
        <v>22</v>
      </c>
      <c r="K193" s="10">
        <v>60</v>
      </c>
      <c r="L193" s="20">
        <v>410</v>
      </c>
      <c r="M193" s="21"/>
      <c r="N193" s="21">
        <f t="shared" si="2"/>
        <v>0</v>
      </c>
    </row>
    <row r="194" s="4" customFormat="1" ht="100" customHeight="1" spans="1:14">
      <c r="A194" s="10">
        <v>191</v>
      </c>
      <c r="B194" s="10" t="s">
        <v>472</v>
      </c>
      <c r="C194" s="10" t="s">
        <v>16</v>
      </c>
      <c r="D194" s="10" t="s">
        <v>473</v>
      </c>
      <c r="E194" s="12" t="s">
        <v>478</v>
      </c>
      <c r="F194" s="11" t="s">
        <v>19</v>
      </c>
      <c r="G194" s="12" t="str">
        <f>_xlfn.DISPIMG("ID_EAB6FFC1A4CE4D7E888651ECE55FE862",1)</f>
        <v>=DISPIMG("ID_EAB6FFC1A4CE4D7E888651ECE55FE862",1)</v>
      </c>
      <c r="H194" s="13" t="s">
        <v>479</v>
      </c>
      <c r="I194" s="10" t="s">
        <v>219</v>
      </c>
      <c r="J194" s="10" t="s">
        <v>22</v>
      </c>
      <c r="K194" s="10">
        <v>60</v>
      </c>
      <c r="L194" s="20">
        <v>335</v>
      </c>
      <c r="M194" s="21"/>
      <c r="N194" s="21">
        <f t="shared" si="2"/>
        <v>0</v>
      </c>
    </row>
    <row r="195" s="4" customFormat="1" ht="100" customHeight="1" spans="1:14">
      <c r="A195" s="10">
        <v>192</v>
      </c>
      <c r="B195" s="10" t="s">
        <v>472</v>
      </c>
      <c r="C195" s="10" t="s">
        <v>16</v>
      </c>
      <c r="D195" s="11" t="s">
        <v>364</v>
      </c>
      <c r="E195" s="12" t="s">
        <v>480</v>
      </c>
      <c r="F195" s="11" t="s">
        <v>19</v>
      </c>
      <c r="G195" s="11" t="str">
        <f>_xlfn.DISPIMG("ID_13E29AFB0EB649679EFA2FFF490AB939",1)</f>
        <v>=DISPIMG("ID_13E29AFB0EB649679EFA2FFF490AB939",1)</v>
      </c>
      <c r="H195" s="13" t="s">
        <v>481</v>
      </c>
      <c r="I195" s="10" t="s">
        <v>358</v>
      </c>
      <c r="J195" s="10" t="s">
        <v>22</v>
      </c>
      <c r="K195" s="10">
        <v>60</v>
      </c>
      <c r="L195" s="20">
        <v>54</v>
      </c>
      <c r="M195" s="21"/>
      <c r="N195" s="21">
        <f t="shared" si="2"/>
        <v>0</v>
      </c>
    </row>
    <row r="196" s="4" customFormat="1" ht="100" customHeight="1" spans="1:14">
      <c r="A196" s="10">
        <v>193</v>
      </c>
      <c r="B196" s="10" t="s">
        <v>482</v>
      </c>
      <c r="C196" s="10" t="s">
        <v>16</v>
      </c>
      <c r="D196" s="11" t="s">
        <v>482</v>
      </c>
      <c r="E196" s="11" t="s">
        <v>483</v>
      </c>
      <c r="F196" s="11" t="s">
        <v>19</v>
      </c>
      <c r="G196" s="11" t="str">
        <f>_xlfn.DISPIMG("ID_53B9B71F3E354882AA9CC6105671EE2F",1)</f>
        <v>=DISPIMG("ID_53B9B71F3E354882AA9CC6105671EE2F",1)</v>
      </c>
      <c r="H196" s="13" t="s">
        <v>484</v>
      </c>
      <c r="I196" s="10" t="s">
        <v>485</v>
      </c>
      <c r="J196" s="10" t="s">
        <v>22</v>
      </c>
      <c r="K196" s="10">
        <v>60</v>
      </c>
      <c r="L196" s="20">
        <v>440</v>
      </c>
      <c r="M196" s="21"/>
      <c r="N196" s="21">
        <f t="shared" si="2"/>
        <v>0</v>
      </c>
    </row>
    <row r="197" s="4" customFormat="1" ht="100" customHeight="1" spans="1:14">
      <c r="A197" s="10">
        <v>194</v>
      </c>
      <c r="B197" s="10" t="s">
        <v>482</v>
      </c>
      <c r="C197" s="10" t="s">
        <v>16</v>
      </c>
      <c r="D197" s="11" t="s">
        <v>486</v>
      </c>
      <c r="E197" s="11" t="s">
        <v>487</v>
      </c>
      <c r="F197" s="11" t="s">
        <v>19</v>
      </c>
      <c r="G197" s="11" t="str">
        <f>_xlfn.DISPIMG("ID_16D6F081887741FC8A7AF90629F4987C",1)</f>
        <v>=DISPIMG("ID_16D6F081887741FC8A7AF90629F4987C",1)</v>
      </c>
      <c r="H197" s="13" t="s">
        <v>488</v>
      </c>
      <c r="I197" s="10" t="s">
        <v>485</v>
      </c>
      <c r="J197" s="10" t="s">
        <v>22</v>
      </c>
      <c r="K197" s="10">
        <v>60</v>
      </c>
      <c r="L197" s="20">
        <v>660</v>
      </c>
      <c r="M197" s="21"/>
      <c r="N197" s="21">
        <f t="shared" ref="N197:N233" si="3">K197*M197</f>
        <v>0</v>
      </c>
    </row>
    <row r="198" s="4" customFormat="1" ht="100" customHeight="1" spans="1:14">
      <c r="A198" s="10">
        <v>195</v>
      </c>
      <c r="B198" s="10" t="s">
        <v>482</v>
      </c>
      <c r="C198" s="10" t="s">
        <v>16</v>
      </c>
      <c r="D198" s="11" t="s">
        <v>489</v>
      </c>
      <c r="E198" s="11" t="s">
        <v>490</v>
      </c>
      <c r="F198" s="11" t="s">
        <v>19</v>
      </c>
      <c r="G198" s="11" t="str">
        <f>_xlfn.DISPIMG("ID_D18C91FC93984E3B8B3977F4FBBC00BF",1)</f>
        <v>=DISPIMG("ID_D18C91FC93984E3B8B3977F4FBBC00BF",1)</v>
      </c>
      <c r="H198" s="13" t="s">
        <v>491</v>
      </c>
      <c r="I198" s="10" t="s">
        <v>485</v>
      </c>
      <c r="J198" s="10" t="s">
        <v>22</v>
      </c>
      <c r="K198" s="10">
        <v>60</v>
      </c>
      <c r="L198" s="20">
        <v>540</v>
      </c>
      <c r="M198" s="21"/>
      <c r="N198" s="21">
        <f t="shared" si="3"/>
        <v>0</v>
      </c>
    </row>
    <row r="199" s="4" customFormat="1" ht="100" customHeight="1" spans="1:14">
      <c r="A199" s="10">
        <v>196</v>
      </c>
      <c r="B199" s="10" t="s">
        <v>482</v>
      </c>
      <c r="C199" s="10" t="s">
        <v>16</v>
      </c>
      <c r="D199" s="11" t="s">
        <v>492</v>
      </c>
      <c r="E199" s="11" t="s">
        <v>493</v>
      </c>
      <c r="F199" s="11" t="s">
        <v>19</v>
      </c>
      <c r="G199" s="11" t="str">
        <f>_xlfn.DISPIMG("ID_9F187170BC4746C5B435554BB7D283F9",1)</f>
        <v>=DISPIMG("ID_9F187170BC4746C5B435554BB7D283F9",1)</v>
      </c>
      <c r="H199" s="13" t="s">
        <v>320</v>
      </c>
      <c r="I199" s="13" t="s">
        <v>494</v>
      </c>
      <c r="J199" s="10" t="s">
        <v>22</v>
      </c>
      <c r="K199" s="10">
        <v>60</v>
      </c>
      <c r="L199" s="20">
        <v>252</v>
      </c>
      <c r="M199" s="21"/>
      <c r="N199" s="21">
        <f t="shared" si="3"/>
        <v>0</v>
      </c>
    </row>
    <row r="200" s="4" customFormat="1" ht="100" customHeight="1" spans="1:14">
      <c r="A200" s="10">
        <v>197</v>
      </c>
      <c r="B200" s="10" t="s">
        <v>482</v>
      </c>
      <c r="C200" s="10" t="s">
        <v>16</v>
      </c>
      <c r="D200" s="11" t="s">
        <v>495</v>
      </c>
      <c r="E200" s="12" t="s">
        <v>496</v>
      </c>
      <c r="F200" s="11" t="s">
        <v>19</v>
      </c>
      <c r="G200" s="12" t="str">
        <f>_xlfn.DISPIMG("ID_1BCCC3C9F45B4B24833D68B5EA540AC0",1)</f>
        <v>=DISPIMG("ID_1BCCC3C9F45B4B24833D68B5EA540AC0",1)</v>
      </c>
      <c r="H200" s="13" t="s">
        <v>320</v>
      </c>
      <c r="I200" s="13" t="s">
        <v>497</v>
      </c>
      <c r="J200" s="10" t="s">
        <v>22</v>
      </c>
      <c r="K200" s="10">
        <v>60</v>
      </c>
      <c r="L200" s="20">
        <v>450</v>
      </c>
      <c r="M200" s="21"/>
      <c r="N200" s="21">
        <f t="shared" si="3"/>
        <v>0</v>
      </c>
    </row>
    <row r="201" s="4" customFormat="1" ht="100" customHeight="1" spans="1:14">
      <c r="A201" s="10">
        <v>198</v>
      </c>
      <c r="B201" s="10" t="s">
        <v>498</v>
      </c>
      <c r="C201" s="10" t="s">
        <v>16</v>
      </c>
      <c r="D201" s="11" t="s">
        <v>498</v>
      </c>
      <c r="E201" s="11" t="s">
        <v>499</v>
      </c>
      <c r="F201" s="11" t="s">
        <v>19</v>
      </c>
      <c r="G201" s="11" t="str">
        <f>_xlfn.DISPIMG("ID_937DCCD286D746B5A49944CE836F467C",1)</f>
        <v>=DISPIMG("ID_937DCCD286D746B5A49944CE836F467C",1)</v>
      </c>
      <c r="H201" s="13" t="s">
        <v>500</v>
      </c>
      <c r="I201" s="10" t="s">
        <v>501</v>
      </c>
      <c r="J201" s="10" t="s">
        <v>22</v>
      </c>
      <c r="K201" s="10">
        <v>60</v>
      </c>
      <c r="L201" s="20">
        <v>40</v>
      </c>
      <c r="M201" s="21"/>
      <c r="N201" s="21">
        <f t="shared" si="3"/>
        <v>0</v>
      </c>
    </row>
    <row r="202" s="4" customFormat="1" ht="100" customHeight="1" spans="1:14">
      <c r="A202" s="10">
        <v>199</v>
      </c>
      <c r="B202" s="10" t="s">
        <v>498</v>
      </c>
      <c r="C202" s="10" t="s">
        <v>16</v>
      </c>
      <c r="D202" s="23" t="s">
        <v>502</v>
      </c>
      <c r="E202" s="23" t="s">
        <v>503</v>
      </c>
      <c r="F202" s="11" t="s">
        <v>19</v>
      </c>
      <c r="G202" s="11" t="str">
        <f>_xlfn.DISPIMG("ID_436DC852BBED4D24B2D0E051D7A5CD1D",1)</f>
        <v>=DISPIMG("ID_436DC852BBED4D24B2D0E051D7A5CD1D",1)</v>
      </c>
      <c r="H202" s="13" t="s">
        <v>504</v>
      </c>
      <c r="I202" s="10" t="s">
        <v>501</v>
      </c>
      <c r="J202" s="10" t="s">
        <v>22</v>
      </c>
      <c r="K202" s="10">
        <v>60</v>
      </c>
      <c r="L202" s="20">
        <v>35</v>
      </c>
      <c r="M202" s="21"/>
      <c r="N202" s="21">
        <f t="shared" si="3"/>
        <v>0</v>
      </c>
    </row>
    <row r="203" s="4" customFormat="1" ht="100" customHeight="1" spans="1:14">
      <c r="A203" s="10">
        <v>200</v>
      </c>
      <c r="B203" s="10" t="s">
        <v>498</v>
      </c>
      <c r="C203" s="10" t="s">
        <v>16</v>
      </c>
      <c r="D203" s="23" t="s">
        <v>502</v>
      </c>
      <c r="E203" s="11" t="s">
        <v>505</v>
      </c>
      <c r="F203" s="11" t="s">
        <v>19</v>
      </c>
      <c r="G203" s="11" t="str">
        <f>_xlfn.DISPIMG("ID_BFF5B174119C44ED8ED0EACD120ECD24",1)</f>
        <v>=DISPIMG("ID_BFF5B174119C44ED8ED0EACD120ECD24",1)</v>
      </c>
      <c r="H203" s="13" t="s">
        <v>506</v>
      </c>
      <c r="I203" s="10" t="s">
        <v>501</v>
      </c>
      <c r="J203" s="10" t="s">
        <v>22</v>
      </c>
      <c r="K203" s="10">
        <v>60</v>
      </c>
      <c r="L203" s="20">
        <v>35</v>
      </c>
      <c r="M203" s="21"/>
      <c r="N203" s="21">
        <f t="shared" si="3"/>
        <v>0</v>
      </c>
    </row>
    <row r="204" s="4" customFormat="1" ht="100" customHeight="1" spans="1:14">
      <c r="A204" s="10">
        <v>201</v>
      </c>
      <c r="B204" s="10" t="s">
        <v>498</v>
      </c>
      <c r="C204" s="10" t="s">
        <v>16</v>
      </c>
      <c r="D204" s="23" t="s">
        <v>502</v>
      </c>
      <c r="E204" s="11" t="s">
        <v>507</v>
      </c>
      <c r="F204" s="11" t="s">
        <v>19</v>
      </c>
      <c r="G204" s="11" t="str">
        <f>_xlfn.DISPIMG("ID_3101F6CC80FA45859D61F9E67F6755AD",1)</f>
        <v>=DISPIMG("ID_3101F6CC80FA45859D61F9E67F6755AD",1)</v>
      </c>
      <c r="H204" s="13" t="s">
        <v>508</v>
      </c>
      <c r="I204" s="10" t="s">
        <v>501</v>
      </c>
      <c r="J204" s="10" t="s">
        <v>22</v>
      </c>
      <c r="K204" s="10">
        <v>60</v>
      </c>
      <c r="L204" s="20">
        <v>35</v>
      </c>
      <c r="M204" s="21"/>
      <c r="N204" s="21">
        <f t="shared" si="3"/>
        <v>0</v>
      </c>
    </row>
    <row r="205" s="4" customFormat="1" ht="100" customHeight="1" spans="1:14">
      <c r="A205" s="10">
        <v>202</v>
      </c>
      <c r="B205" s="10" t="s">
        <v>498</v>
      </c>
      <c r="C205" s="10" t="s">
        <v>16</v>
      </c>
      <c r="D205" s="23" t="s">
        <v>509</v>
      </c>
      <c r="E205" s="11" t="s">
        <v>510</v>
      </c>
      <c r="F205" s="11" t="s">
        <v>19</v>
      </c>
      <c r="G205" s="11" t="str">
        <f>_xlfn.DISPIMG("ID_C7BEC25DA5D6444CBE745F64249FF228",1)</f>
        <v>=DISPIMG("ID_C7BEC25DA5D6444CBE745F64249FF228",1)</v>
      </c>
      <c r="H205" s="13" t="s">
        <v>504</v>
      </c>
      <c r="I205" s="10" t="s">
        <v>501</v>
      </c>
      <c r="J205" s="10" t="s">
        <v>22</v>
      </c>
      <c r="K205" s="10">
        <v>60</v>
      </c>
      <c r="L205" s="20">
        <v>35</v>
      </c>
      <c r="M205" s="21"/>
      <c r="N205" s="21">
        <f t="shared" si="3"/>
        <v>0</v>
      </c>
    </row>
    <row r="206" s="4" customFormat="1" ht="100" customHeight="1" spans="1:14">
      <c r="A206" s="10">
        <v>203</v>
      </c>
      <c r="B206" s="10" t="s">
        <v>498</v>
      </c>
      <c r="C206" s="10" t="s">
        <v>16</v>
      </c>
      <c r="D206" s="23" t="s">
        <v>509</v>
      </c>
      <c r="E206" s="11" t="s">
        <v>511</v>
      </c>
      <c r="F206" s="11" t="s">
        <v>19</v>
      </c>
      <c r="G206" s="11" t="str">
        <f>_xlfn.DISPIMG("ID_7020DE846258404197718E76DC077FA2",1)</f>
        <v>=DISPIMG("ID_7020DE846258404197718E76DC077FA2",1)</v>
      </c>
      <c r="H206" s="13" t="s">
        <v>506</v>
      </c>
      <c r="I206" s="10" t="s">
        <v>501</v>
      </c>
      <c r="J206" s="10" t="s">
        <v>22</v>
      </c>
      <c r="K206" s="10">
        <v>60</v>
      </c>
      <c r="L206" s="20">
        <v>35</v>
      </c>
      <c r="M206" s="21"/>
      <c r="N206" s="21">
        <f t="shared" si="3"/>
        <v>0</v>
      </c>
    </row>
    <row r="207" s="4" customFormat="1" ht="100" customHeight="1" spans="1:14">
      <c r="A207" s="10">
        <v>204</v>
      </c>
      <c r="B207" s="10" t="s">
        <v>498</v>
      </c>
      <c r="C207" s="10" t="s">
        <v>16</v>
      </c>
      <c r="D207" s="23" t="s">
        <v>509</v>
      </c>
      <c r="E207" s="11" t="s">
        <v>512</v>
      </c>
      <c r="F207" s="11" t="s">
        <v>19</v>
      </c>
      <c r="G207" s="11" t="str">
        <f>_xlfn.DISPIMG("ID_5CC4DB4ED0D346EE933D86A53DFBD359",1)</f>
        <v>=DISPIMG("ID_5CC4DB4ED0D346EE933D86A53DFBD359",1)</v>
      </c>
      <c r="H207" s="13" t="s">
        <v>508</v>
      </c>
      <c r="I207" s="10" t="s">
        <v>501</v>
      </c>
      <c r="J207" s="10" t="s">
        <v>22</v>
      </c>
      <c r="K207" s="10">
        <v>60</v>
      </c>
      <c r="L207" s="20">
        <v>35</v>
      </c>
      <c r="M207" s="21"/>
      <c r="N207" s="21">
        <f t="shared" si="3"/>
        <v>0</v>
      </c>
    </row>
    <row r="208" s="4" customFormat="1" ht="100" customHeight="1" spans="1:14">
      <c r="A208" s="10">
        <v>205</v>
      </c>
      <c r="B208" s="10" t="s">
        <v>513</v>
      </c>
      <c r="C208" s="10" t="s">
        <v>16</v>
      </c>
      <c r="D208" s="11" t="s">
        <v>514</v>
      </c>
      <c r="E208" s="11" t="s">
        <v>515</v>
      </c>
      <c r="F208" s="11" t="s">
        <v>19</v>
      </c>
      <c r="G208" s="11" t="str">
        <f>_xlfn.DISPIMG("ID_E38D1B652E164C22976AE9D12EA59349",1)</f>
        <v>=DISPIMG("ID_E38D1B652E164C22976AE9D12EA59349",1)</v>
      </c>
      <c r="H208" s="11" t="s">
        <v>516</v>
      </c>
      <c r="I208" s="10" t="s">
        <v>517</v>
      </c>
      <c r="J208" s="10" t="s">
        <v>22</v>
      </c>
      <c r="K208" s="10">
        <v>60</v>
      </c>
      <c r="L208" s="20">
        <v>1580</v>
      </c>
      <c r="M208" s="21"/>
      <c r="N208" s="21">
        <f t="shared" si="3"/>
        <v>0</v>
      </c>
    </row>
    <row r="209" s="4" customFormat="1" ht="100" customHeight="1" spans="1:14">
      <c r="A209" s="10">
        <v>206</v>
      </c>
      <c r="B209" s="10" t="s">
        <v>513</v>
      </c>
      <c r="C209" s="10" t="s">
        <v>16</v>
      </c>
      <c r="D209" s="11" t="s">
        <v>514</v>
      </c>
      <c r="E209" s="11" t="s">
        <v>518</v>
      </c>
      <c r="F209" s="11" t="s">
        <v>19</v>
      </c>
      <c r="G209" s="11" t="str">
        <f>_xlfn.DISPIMG("ID_5D655BFB025F422D80F202A47E591030",1)</f>
        <v>=DISPIMG("ID_5D655BFB025F422D80F202A47E591030",1)</v>
      </c>
      <c r="H209" s="11" t="s">
        <v>519</v>
      </c>
      <c r="I209" s="10" t="s">
        <v>520</v>
      </c>
      <c r="J209" s="10" t="s">
        <v>22</v>
      </c>
      <c r="K209" s="10">
        <v>60</v>
      </c>
      <c r="L209" s="20">
        <v>1300</v>
      </c>
      <c r="M209" s="21"/>
      <c r="N209" s="21">
        <f t="shared" si="3"/>
        <v>0</v>
      </c>
    </row>
    <row r="210" s="4" customFormat="1" ht="100" customHeight="1" spans="1:14">
      <c r="A210" s="10">
        <v>207</v>
      </c>
      <c r="B210" s="10" t="s">
        <v>513</v>
      </c>
      <c r="C210" s="10" t="s">
        <v>16</v>
      </c>
      <c r="D210" s="11" t="s">
        <v>514</v>
      </c>
      <c r="E210" s="11" t="s">
        <v>521</v>
      </c>
      <c r="F210" s="11" t="s">
        <v>19</v>
      </c>
      <c r="G210" s="11" t="str">
        <f>_xlfn.DISPIMG("ID_D2CB0F6625AD44CBBC4DEC27A7473E21",1)</f>
        <v>=DISPIMG("ID_D2CB0F6625AD44CBBC4DEC27A7473E21",1)</v>
      </c>
      <c r="H210" s="11" t="s">
        <v>522</v>
      </c>
      <c r="I210" s="10" t="s">
        <v>523</v>
      </c>
      <c r="J210" s="10" t="s">
        <v>22</v>
      </c>
      <c r="K210" s="10">
        <v>60</v>
      </c>
      <c r="L210" s="20">
        <v>1300</v>
      </c>
      <c r="M210" s="21"/>
      <c r="N210" s="21">
        <f t="shared" si="3"/>
        <v>0</v>
      </c>
    </row>
    <row r="211" s="4" customFormat="1" ht="100" customHeight="1" spans="1:14">
      <c r="A211" s="10">
        <v>208</v>
      </c>
      <c r="B211" s="10" t="s">
        <v>513</v>
      </c>
      <c r="C211" s="10" t="s">
        <v>16</v>
      </c>
      <c r="D211" s="11" t="s">
        <v>524</v>
      </c>
      <c r="E211" s="11" t="s">
        <v>525</v>
      </c>
      <c r="F211" s="11" t="s">
        <v>19</v>
      </c>
      <c r="G211" s="11" t="str">
        <f>_xlfn.DISPIMG("ID_FAC85673D1CD400198DEBDB2680998C5",1)</f>
        <v>=DISPIMG("ID_FAC85673D1CD400198DEBDB2680998C5",1)</v>
      </c>
      <c r="H211" s="10" t="s">
        <v>526</v>
      </c>
      <c r="I211" s="10" t="s">
        <v>527</v>
      </c>
      <c r="J211" s="10" t="s">
        <v>22</v>
      </c>
      <c r="K211" s="10">
        <v>60</v>
      </c>
      <c r="L211" s="20">
        <v>1780</v>
      </c>
      <c r="M211" s="21"/>
      <c r="N211" s="21">
        <f t="shared" si="3"/>
        <v>0</v>
      </c>
    </row>
    <row r="212" s="4" customFormat="1" ht="100" customHeight="1" spans="1:14">
      <c r="A212" s="10">
        <v>209</v>
      </c>
      <c r="B212" s="10" t="s">
        <v>513</v>
      </c>
      <c r="C212" s="10" t="s">
        <v>16</v>
      </c>
      <c r="D212" s="11" t="s">
        <v>232</v>
      </c>
      <c r="E212" s="11" t="s">
        <v>528</v>
      </c>
      <c r="F212" s="11" t="s">
        <v>19</v>
      </c>
      <c r="G212" s="11"/>
      <c r="H212" s="10" t="s">
        <v>529</v>
      </c>
      <c r="I212" s="10"/>
      <c r="J212" s="10" t="s">
        <v>22</v>
      </c>
      <c r="K212" s="10">
        <v>60</v>
      </c>
      <c r="L212" s="20">
        <v>218</v>
      </c>
      <c r="M212" s="21"/>
      <c r="N212" s="21">
        <f t="shared" si="3"/>
        <v>0</v>
      </c>
    </row>
    <row r="213" s="4" customFormat="1" ht="100" customHeight="1" spans="1:14">
      <c r="A213" s="10">
        <v>210</v>
      </c>
      <c r="B213" s="10" t="s">
        <v>530</v>
      </c>
      <c r="C213" s="10" t="s">
        <v>16</v>
      </c>
      <c r="D213" s="11" t="s">
        <v>531</v>
      </c>
      <c r="E213" s="11" t="s">
        <v>532</v>
      </c>
      <c r="F213" s="11" t="s">
        <v>19</v>
      </c>
      <c r="G213" s="11" t="str">
        <f>_xlfn.DISPIMG("ID_8F2FA11CD98B4526AC8AF9625C09D6A8",1)</f>
        <v>=DISPIMG("ID_8F2FA11CD98B4526AC8AF9625C09D6A8",1)</v>
      </c>
      <c r="H213" s="13" t="s">
        <v>533</v>
      </c>
      <c r="I213" s="10" t="s">
        <v>534</v>
      </c>
      <c r="J213" s="10" t="s">
        <v>22</v>
      </c>
      <c r="K213" s="10">
        <v>60</v>
      </c>
      <c r="L213" s="20">
        <v>188</v>
      </c>
      <c r="M213" s="21"/>
      <c r="N213" s="21">
        <f t="shared" si="3"/>
        <v>0</v>
      </c>
    </row>
    <row r="214" s="4" customFormat="1" ht="100" customHeight="1" spans="1:14">
      <c r="A214" s="10">
        <v>211</v>
      </c>
      <c r="B214" s="10" t="s">
        <v>530</v>
      </c>
      <c r="C214" s="10" t="s">
        <v>16</v>
      </c>
      <c r="D214" s="11" t="s">
        <v>535</v>
      </c>
      <c r="E214" s="11" t="s">
        <v>536</v>
      </c>
      <c r="F214" s="11" t="s">
        <v>19</v>
      </c>
      <c r="G214" s="11" t="str">
        <f>_xlfn.DISPIMG("ID_E16289B6F28649FDAB50798289A4A6CA",1)</f>
        <v>=DISPIMG("ID_E16289B6F28649FDAB50798289A4A6CA",1)</v>
      </c>
      <c r="H214" s="10" t="s">
        <v>537</v>
      </c>
      <c r="I214" s="10" t="s">
        <v>534</v>
      </c>
      <c r="J214" s="10" t="s">
        <v>22</v>
      </c>
      <c r="K214" s="10">
        <v>60</v>
      </c>
      <c r="L214" s="20">
        <v>82</v>
      </c>
      <c r="M214" s="21"/>
      <c r="N214" s="21">
        <f t="shared" si="3"/>
        <v>0</v>
      </c>
    </row>
    <row r="215" s="4" customFormat="1" ht="100" customHeight="1" spans="1:14">
      <c r="A215" s="10">
        <v>212</v>
      </c>
      <c r="B215" s="10" t="s">
        <v>530</v>
      </c>
      <c r="C215" s="10" t="s">
        <v>16</v>
      </c>
      <c r="D215" s="11" t="s">
        <v>538</v>
      </c>
      <c r="E215" s="11" t="s">
        <v>539</v>
      </c>
      <c r="F215" s="11" t="s">
        <v>19</v>
      </c>
      <c r="G215" s="11" t="str">
        <f>_xlfn.DISPIMG("ID_81956F53DFF447AE93897B500E6FD058",1)</f>
        <v>=DISPIMG("ID_81956F53DFF447AE93897B500E6FD058",1)</v>
      </c>
      <c r="H215" s="13" t="s">
        <v>540</v>
      </c>
      <c r="I215" s="10" t="s">
        <v>534</v>
      </c>
      <c r="J215" s="10" t="s">
        <v>22</v>
      </c>
      <c r="K215" s="10">
        <v>60</v>
      </c>
      <c r="L215" s="20">
        <v>90</v>
      </c>
      <c r="M215" s="21"/>
      <c r="N215" s="21">
        <f t="shared" si="3"/>
        <v>0</v>
      </c>
    </row>
    <row r="216" s="4" customFormat="1" ht="100" customHeight="1" spans="1:14">
      <c r="A216" s="10">
        <v>213</v>
      </c>
      <c r="B216" s="10" t="s">
        <v>530</v>
      </c>
      <c r="C216" s="10" t="s">
        <v>16</v>
      </c>
      <c r="D216" s="11" t="s">
        <v>531</v>
      </c>
      <c r="E216" s="11" t="s">
        <v>541</v>
      </c>
      <c r="F216" s="11" t="s">
        <v>19</v>
      </c>
      <c r="G216" s="11" t="str">
        <f>_xlfn.DISPIMG("ID_2AD37AE7A3F04282B14483177845D5FA",1)</f>
        <v>=DISPIMG("ID_2AD37AE7A3F04282B14483177845D5FA",1)</v>
      </c>
      <c r="H216" s="13" t="s">
        <v>542</v>
      </c>
      <c r="I216" s="10" t="s">
        <v>534</v>
      </c>
      <c r="J216" s="10" t="s">
        <v>22</v>
      </c>
      <c r="K216" s="10">
        <v>60</v>
      </c>
      <c r="L216" s="20">
        <v>195</v>
      </c>
      <c r="M216" s="21"/>
      <c r="N216" s="21">
        <f t="shared" si="3"/>
        <v>0</v>
      </c>
    </row>
    <row r="217" s="4" customFormat="1" ht="100" customHeight="1" spans="1:14">
      <c r="A217" s="10">
        <v>214</v>
      </c>
      <c r="B217" s="10" t="s">
        <v>530</v>
      </c>
      <c r="C217" s="10" t="s">
        <v>16</v>
      </c>
      <c r="D217" s="11" t="s">
        <v>543</v>
      </c>
      <c r="E217" s="11" t="s">
        <v>543</v>
      </c>
      <c r="F217" s="11" t="s">
        <v>19</v>
      </c>
      <c r="G217" s="11" t="str">
        <f>_xlfn.DISPIMG("ID_E964D33F82444F1894EE14417A3B8D4C",1)</f>
        <v>=DISPIMG("ID_E964D33F82444F1894EE14417A3B8D4C",1)</v>
      </c>
      <c r="H217" s="13" t="s">
        <v>544</v>
      </c>
      <c r="I217" s="10" t="s">
        <v>534</v>
      </c>
      <c r="J217" s="10" t="s">
        <v>22</v>
      </c>
      <c r="K217" s="10">
        <v>60</v>
      </c>
      <c r="L217" s="20">
        <v>87</v>
      </c>
      <c r="M217" s="21"/>
      <c r="N217" s="21">
        <f t="shared" si="3"/>
        <v>0</v>
      </c>
    </row>
    <row r="218" s="4" customFormat="1" ht="100" customHeight="1" spans="1:14">
      <c r="A218" s="10">
        <v>215</v>
      </c>
      <c r="B218" s="10" t="s">
        <v>530</v>
      </c>
      <c r="C218" s="10" t="s">
        <v>16</v>
      </c>
      <c r="D218" s="11" t="s">
        <v>545</v>
      </c>
      <c r="E218" s="11" t="s">
        <v>546</v>
      </c>
      <c r="F218" s="11" t="s">
        <v>19</v>
      </c>
      <c r="G218" s="11" t="str">
        <f>_xlfn.DISPIMG("ID_E9098A3E999641FDAB19AE09FCAB15ED",1)</f>
        <v>=DISPIMG("ID_E9098A3E999641FDAB19AE09FCAB15ED",1)</v>
      </c>
      <c r="H218" s="13" t="s">
        <v>547</v>
      </c>
      <c r="I218" s="10" t="s">
        <v>534</v>
      </c>
      <c r="J218" s="10" t="s">
        <v>22</v>
      </c>
      <c r="K218" s="10">
        <v>60</v>
      </c>
      <c r="L218" s="20">
        <v>84</v>
      </c>
      <c r="M218" s="21"/>
      <c r="N218" s="21">
        <f t="shared" si="3"/>
        <v>0</v>
      </c>
    </row>
    <row r="219" s="4" customFormat="1" ht="84" customHeight="1" spans="1:14">
      <c r="A219" s="10">
        <v>216</v>
      </c>
      <c r="B219" s="10" t="s">
        <v>530</v>
      </c>
      <c r="C219" s="10" t="s">
        <v>16</v>
      </c>
      <c r="D219" s="11" t="s">
        <v>548</v>
      </c>
      <c r="E219" s="11" t="s">
        <v>549</v>
      </c>
      <c r="F219" s="11" t="s">
        <v>19</v>
      </c>
      <c r="G219" s="11" t="str">
        <f>_xlfn.DISPIMG("ID_81021AD4D5974D228B934FA8CD3B829B",1)</f>
        <v>=DISPIMG("ID_81021AD4D5974D228B934FA8CD3B829B",1)</v>
      </c>
      <c r="H219" s="13" t="s">
        <v>550</v>
      </c>
      <c r="I219" s="10" t="s">
        <v>534</v>
      </c>
      <c r="J219" s="10" t="s">
        <v>22</v>
      </c>
      <c r="K219" s="10">
        <v>60</v>
      </c>
      <c r="L219" s="20">
        <v>92</v>
      </c>
      <c r="M219" s="21"/>
      <c r="N219" s="21">
        <f t="shared" si="3"/>
        <v>0</v>
      </c>
    </row>
    <row r="220" s="4" customFormat="1" ht="70" customHeight="1" spans="1:14">
      <c r="A220" s="10">
        <v>217</v>
      </c>
      <c r="B220" s="10" t="s">
        <v>530</v>
      </c>
      <c r="C220" s="10" t="s">
        <v>16</v>
      </c>
      <c r="D220" s="10" t="s">
        <v>531</v>
      </c>
      <c r="E220" s="10" t="s">
        <v>551</v>
      </c>
      <c r="F220" s="11" t="s">
        <v>19</v>
      </c>
      <c r="G220" s="11" t="str">
        <f>_xlfn.DISPIMG("ID_40FE351CA6A04FB6AF5E66147F9C3A10",1)</f>
        <v>=DISPIMG("ID_40FE351CA6A04FB6AF5E66147F9C3A10",1)</v>
      </c>
      <c r="H220" s="13" t="s">
        <v>552</v>
      </c>
      <c r="I220" s="10" t="s">
        <v>553</v>
      </c>
      <c r="J220" s="10" t="s">
        <v>22</v>
      </c>
      <c r="K220" s="10">
        <v>60</v>
      </c>
      <c r="L220" s="20">
        <v>205</v>
      </c>
      <c r="M220" s="21"/>
      <c r="N220" s="21">
        <f t="shared" si="3"/>
        <v>0</v>
      </c>
    </row>
    <row r="221" s="4" customFormat="1" ht="70" customHeight="1" spans="1:14">
      <c r="A221" s="10">
        <v>218</v>
      </c>
      <c r="B221" s="10" t="s">
        <v>530</v>
      </c>
      <c r="C221" s="10" t="s">
        <v>16</v>
      </c>
      <c r="D221" s="10" t="s">
        <v>554</v>
      </c>
      <c r="E221" s="10"/>
      <c r="F221" s="11" t="s">
        <v>19</v>
      </c>
      <c r="G221" s="11" t="str">
        <f>_xlfn.DISPIMG("ID_2986AE4DCDF84ABD98640C0C39C7D360",1)</f>
        <v>=DISPIMG("ID_2986AE4DCDF84ABD98640C0C39C7D360",1)</v>
      </c>
      <c r="H221" s="13" t="s">
        <v>555</v>
      </c>
      <c r="I221" s="10" t="s">
        <v>553</v>
      </c>
      <c r="J221" s="10" t="s">
        <v>22</v>
      </c>
      <c r="K221" s="10">
        <v>60</v>
      </c>
      <c r="L221" s="20">
        <v>94</v>
      </c>
      <c r="M221" s="21"/>
      <c r="N221" s="21">
        <f t="shared" si="3"/>
        <v>0</v>
      </c>
    </row>
    <row r="222" s="4" customFormat="1" ht="70" customHeight="1" spans="1:14">
      <c r="A222" s="10">
        <v>219</v>
      </c>
      <c r="B222" s="10" t="s">
        <v>530</v>
      </c>
      <c r="C222" s="10" t="s">
        <v>16</v>
      </c>
      <c r="D222" s="10" t="s">
        <v>556</v>
      </c>
      <c r="E222" s="10"/>
      <c r="F222" s="11" t="s">
        <v>19</v>
      </c>
      <c r="G222" s="11" t="str">
        <f>_xlfn.DISPIMG("ID_B0E2EAA4A19A4707B83451124E241AA0",1)</f>
        <v>=DISPIMG("ID_B0E2EAA4A19A4707B83451124E241AA0",1)</v>
      </c>
      <c r="H222" s="13" t="s">
        <v>557</v>
      </c>
      <c r="I222" s="10" t="s">
        <v>553</v>
      </c>
      <c r="J222" s="10" t="s">
        <v>22</v>
      </c>
      <c r="K222" s="10">
        <v>60</v>
      </c>
      <c r="L222" s="20">
        <v>89</v>
      </c>
      <c r="M222" s="21"/>
      <c r="N222" s="21">
        <f t="shared" si="3"/>
        <v>0</v>
      </c>
    </row>
    <row r="223" s="4" customFormat="1" ht="70" customHeight="1" spans="1:14">
      <c r="A223" s="10">
        <v>220</v>
      </c>
      <c r="B223" s="10" t="s">
        <v>530</v>
      </c>
      <c r="C223" s="10" t="s">
        <v>16</v>
      </c>
      <c r="D223" s="10" t="s">
        <v>545</v>
      </c>
      <c r="E223" s="10"/>
      <c r="F223" s="11" t="s">
        <v>19</v>
      </c>
      <c r="G223" s="11" t="str">
        <f>_xlfn.DISPIMG("ID_0FE6BD56ACD6448AA2D7CDAB56921DC1",1)</f>
        <v>=DISPIMG("ID_0FE6BD56ACD6448AA2D7CDAB56921DC1",1)</v>
      </c>
      <c r="H223" s="13" t="s">
        <v>558</v>
      </c>
      <c r="I223" s="10" t="s">
        <v>553</v>
      </c>
      <c r="J223" s="10" t="s">
        <v>22</v>
      </c>
      <c r="K223" s="10">
        <v>60</v>
      </c>
      <c r="L223" s="20">
        <v>85</v>
      </c>
      <c r="M223" s="21"/>
      <c r="N223" s="21">
        <f t="shared" si="3"/>
        <v>0</v>
      </c>
    </row>
    <row r="224" s="4" customFormat="1" ht="70" customHeight="1" spans="1:14">
      <c r="A224" s="10">
        <v>221</v>
      </c>
      <c r="B224" s="10" t="s">
        <v>530</v>
      </c>
      <c r="C224" s="10" t="s">
        <v>16</v>
      </c>
      <c r="D224" s="10" t="s">
        <v>531</v>
      </c>
      <c r="E224" s="11" t="s">
        <v>559</v>
      </c>
      <c r="F224" s="11" t="s">
        <v>19</v>
      </c>
      <c r="G224" s="11" t="str">
        <f>_xlfn.DISPIMG("ID_21AC5E97694C4727B293EF25F14E0A12",1)</f>
        <v>=DISPIMG("ID_21AC5E97694C4727B293EF25F14E0A12",1)</v>
      </c>
      <c r="H224" s="13" t="s">
        <v>560</v>
      </c>
      <c r="I224" s="10" t="s">
        <v>553</v>
      </c>
      <c r="J224" s="10" t="s">
        <v>22</v>
      </c>
      <c r="K224" s="10">
        <v>60</v>
      </c>
      <c r="L224" s="20">
        <v>182</v>
      </c>
      <c r="M224" s="21"/>
      <c r="N224" s="21">
        <f t="shared" si="3"/>
        <v>0</v>
      </c>
    </row>
    <row r="225" s="4" customFormat="1" ht="70" customHeight="1" spans="1:14">
      <c r="A225" s="10">
        <v>222</v>
      </c>
      <c r="B225" s="10" t="s">
        <v>530</v>
      </c>
      <c r="C225" s="10" t="s">
        <v>16</v>
      </c>
      <c r="D225" s="10" t="s">
        <v>554</v>
      </c>
      <c r="E225" s="11"/>
      <c r="F225" s="11" t="s">
        <v>19</v>
      </c>
      <c r="G225" s="11" t="str">
        <f>_xlfn.DISPIMG("ID_5D98BF377A104F379862099722881841",1)</f>
        <v>=DISPIMG("ID_5D98BF377A104F379862099722881841",1)</v>
      </c>
      <c r="H225" s="13" t="s">
        <v>561</v>
      </c>
      <c r="I225" s="10" t="s">
        <v>553</v>
      </c>
      <c r="J225" s="10" t="s">
        <v>22</v>
      </c>
      <c r="K225" s="10">
        <v>60</v>
      </c>
      <c r="L225" s="20">
        <v>94</v>
      </c>
      <c r="M225" s="21"/>
      <c r="N225" s="21">
        <f t="shared" si="3"/>
        <v>0</v>
      </c>
    </row>
    <row r="226" s="4" customFormat="1" ht="70" customHeight="1" spans="1:14">
      <c r="A226" s="10">
        <v>223</v>
      </c>
      <c r="B226" s="10" t="s">
        <v>530</v>
      </c>
      <c r="C226" s="10" t="s">
        <v>16</v>
      </c>
      <c r="D226" s="10" t="s">
        <v>562</v>
      </c>
      <c r="E226" s="11"/>
      <c r="F226" s="11" t="s">
        <v>19</v>
      </c>
      <c r="G226" s="11" t="str">
        <f>_xlfn.DISPIMG("ID_41434BB25B6F46C0BACC9C5DF68D262D",1)</f>
        <v>=DISPIMG("ID_41434BB25B6F46C0BACC9C5DF68D262D",1)</v>
      </c>
      <c r="H226" s="13" t="s">
        <v>563</v>
      </c>
      <c r="I226" s="10" t="s">
        <v>553</v>
      </c>
      <c r="J226" s="10" t="s">
        <v>22</v>
      </c>
      <c r="K226" s="10">
        <v>60</v>
      </c>
      <c r="L226" s="20">
        <v>85</v>
      </c>
      <c r="M226" s="21"/>
      <c r="N226" s="21">
        <f t="shared" si="3"/>
        <v>0</v>
      </c>
    </row>
    <row r="227" s="4" customFormat="1" ht="70" customHeight="1" spans="1:14">
      <c r="A227" s="10">
        <v>224</v>
      </c>
      <c r="B227" s="10" t="s">
        <v>530</v>
      </c>
      <c r="C227" s="10" t="s">
        <v>16</v>
      </c>
      <c r="D227" s="10" t="s">
        <v>545</v>
      </c>
      <c r="E227" s="11"/>
      <c r="F227" s="11" t="s">
        <v>19</v>
      </c>
      <c r="G227" s="11" t="str">
        <f>_xlfn.DISPIMG("ID_38C7D96D06444D16A72C1715914F6DF8",1)</f>
        <v>=DISPIMG("ID_38C7D96D06444D16A72C1715914F6DF8",1)</v>
      </c>
      <c r="H227" s="13" t="s">
        <v>564</v>
      </c>
      <c r="I227" s="10" t="s">
        <v>553</v>
      </c>
      <c r="J227" s="10" t="s">
        <v>22</v>
      </c>
      <c r="K227" s="10">
        <v>60</v>
      </c>
      <c r="L227" s="20">
        <v>75</v>
      </c>
      <c r="M227" s="21"/>
      <c r="N227" s="21">
        <f t="shared" si="3"/>
        <v>0</v>
      </c>
    </row>
    <row r="228" s="4" customFormat="1" ht="81" customHeight="1" spans="1:14">
      <c r="A228" s="10">
        <v>225</v>
      </c>
      <c r="B228" s="10" t="s">
        <v>530</v>
      </c>
      <c r="C228" s="10" t="s">
        <v>16</v>
      </c>
      <c r="D228" s="10" t="s">
        <v>531</v>
      </c>
      <c r="E228" s="11" t="s">
        <v>565</v>
      </c>
      <c r="F228" s="11" t="s">
        <v>19</v>
      </c>
      <c r="G228" s="11" t="str">
        <f>_xlfn.DISPIMG("ID_C125E05595FA41E7989BA1F4FF164CD7",1)</f>
        <v>=DISPIMG("ID_C125E05595FA41E7989BA1F4FF164CD7",1)</v>
      </c>
      <c r="H228" s="13" t="s">
        <v>566</v>
      </c>
      <c r="I228" s="10" t="s">
        <v>567</v>
      </c>
      <c r="J228" s="10" t="s">
        <v>22</v>
      </c>
      <c r="K228" s="10">
        <v>60</v>
      </c>
      <c r="L228" s="20">
        <v>172</v>
      </c>
      <c r="M228" s="21"/>
      <c r="N228" s="21">
        <f t="shared" si="3"/>
        <v>0</v>
      </c>
    </row>
    <row r="229" s="4" customFormat="1" ht="81" customHeight="1" spans="1:14">
      <c r="A229" s="10">
        <v>226</v>
      </c>
      <c r="B229" s="10" t="s">
        <v>530</v>
      </c>
      <c r="C229" s="10" t="s">
        <v>16</v>
      </c>
      <c r="D229" s="10" t="s">
        <v>554</v>
      </c>
      <c r="E229" s="11"/>
      <c r="F229" s="11" t="s">
        <v>19</v>
      </c>
      <c r="G229" s="11" t="str">
        <f>_xlfn.DISPIMG("ID_FD70D3D409E6434AB1453C10DE78D07E",1)</f>
        <v>=DISPIMG("ID_FD70D3D409E6434AB1453C10DE78D07E",1)</v>
      </c>
      <c r="H229" s="13" t="s">
        <v>568</v>
      </c>
      <c r="I229" s="10" t="s">
        <v>567</v>
      </c>
      <c r="J229" s="10" t="s">
        <v>22</v>
      </c>
      <c r="K229" s="10">
        <v>60</v>
      </c>
      <c r="L229" s="20">
        <v>87</v>
      </c>
      <c r="M229" s="21"/>
      <c r="N229" s="21">
        <f t="shared" si="3"/>
        <v>0</v>
      </c>
    </row>
    <row r="230" s="4" customFormat="1" ht="81" customHeight="1" spans="1:14">
      <c r="A230" s="10">
        <v>227</v>
      </c>
      <c r="B230" s="10" t="s">
        <v>530</v>
      </c>
      <c r="C230" s="10" t="s">
        <v>16</v>
      </c>
      <c r="D230" s="10" t="s">
        <v>569</v>
      </c>
      <c r="E230" s="11"/>
      <c r="F230" s="11" t="s">
        <v>19</v>
      </c>
      <c r="G230" s="11" t="str">
        <f>_xlfn.DISPIMG("ID_144A680F20B248A994DA63BE46C556D4",1)</f>
        <v>=DISPIMG("ID_144A680F20B248A994DA63BE46C556D4",1)</v>
      </c>
      <c r="H230" s="13" t="s">
        <v>570</v>
      </c>
      <c r="I230" s="10" t="s">
        <v>567</v>
      </c>
      <c r="J230" s="10" t="s">
        <v>22</v>
      </c>
      <c r="K230" s="10">
        <v>60</v>
      </c>
      <c r="L230" s="20">
        <v>79</v>
      </c>
      <c r="M230" s="21"/>
      <c r="N230" s="21">
        <f t="shared" si="3"/>
        <v>0</v>
      </c>
    </row>
    <row r="231" s="4" customFormat="1" ht="81" customHeight="1" spans="1:14">
      <c r="A231" s="10">
        <v>228</v>
      </c>
      <c r="B231" s="10" t="s">
        <v>530</v>
      </c>
      <c r="C231" s="10" t="s">
        <v>16</v>
      </c>
      <c r="D231" s="10" t="s">
        <v>545</v>
      </c>
      <c r="E231" s="11"/>
      <c r="F231" s="11" t="s">
        <v>19</v>
      </c>
      <c r="G231" s="11" t="str">
        <f>_xlfn.DISPIMG("ID_4927780E1F46446BBBA2B20A545F04D7",1)</f>
        <v>=DISPIMG("ID_4927780E1F46446BBBA2B20A545F04D7",1)</v>
      </c>
      <c r="H231" s="13" t="s">
        <v>571</v>
      </c>
      <c r="I231" s="10" t="s">
        <v>567</v>
      </c>
      <c r="J231" s="10" t="s">
        <v>22</v>
      </c>
      <c r="K231" s="10">
        <v>60</v>
      </c>
      <c r="L231" s="20">
        <v>70</v>
      </c>
      <c r="M231" s="21"/>
      <c r="N231" s="21">
        <f t="shared" si="3"/>
        <v>0</v>
      </c>
    </row>
    <row r="232" s="4" customFormat="1" ht="100" customHeight="1" spans="1:14">
      <c r="A232" s="10">
        <v>229</v>
      </c>
      <c r="B232" s="10" t="s">
        <v>530</v>
      </c>
      <c r="C232" s="10" t="s">
        <v>16</v>
      </c>
      <c r="D232" s="11" t="s">
        <v>572</v>
      </c>
      <c r="E232" s="11" t="s">
        <v>573</v>
      </c>
      <c r="F232" s="11" t="s">
        <v>19</v>
      </c>
      <c r="G232" s="11" t="str">
        <f>_xlfn.DISPIMG("ID_A429F2ADAE6B4FBF9938E34CFF03D99A",1)</f>
        <v>=DISPIMG("ID_A429F2ADAE6B4FBF9938E34CFF03D99A",1)</v>
      </c>
      <c r="H232" s="13" t="s">
        <v>574</v>
      </c>
      <c r="I232" s="10" t="s">
        <v>534</v>
      </c>
      <c r="J232" s="10" t="s">
        <v>22</v>
      </c>
      <c r="K232" s="10">
        <v>60</v>
      </c>
      <c r="L232" s="20">
        <v>83</v>
      </c>
      <c r="M232" s="21"/>
      <c r="N232" s="21">
        <f t="shared" si="3"/>
        <v>0</v>
      </c>
    </row>
    <row r="233" s="4" customFormat="1" ht="100" customHeight="1" spans="1:14">
      <c r="A233" s="10">
        <v>230</v>
      </c>
      <c r="B233" s="10" t="s">
        <v>530</v>
      </c>
      <c r="C233" s="10" t="s">
        <v>16</v>
      </c>
      <c r="D233" s="11" t="s">
        <v>572</v>
      </c>
      <c r="E233" s="11" t="s">
        <v>575</v>
      </c>
      <c r="F233" s="11" t="s">
        <v>19</v>
      </c>
      <c r="G233" s="11" t="str">
        <f>_xlfn.DISPIMG("ID_CF5EA167279A49E2B54B81632E6AF1D1",1)</f>
        <v>=DISPIMG("ID_CF5EA167279A49E2B54B81632E6AF1D1",1)</v>
      </c>
      <c r="H233" s="13" t="s">
        <v>576</v>
      </c>
      <c r="I233" s="10" t="s">
        <v>534</v>
      </c>
      <c r="J233" s="10" t="s">
        <v>22</v>
      </c>
      <c r="K233" s="10">
        <v>60</v>
      </c>
      <c r="L233" s="20">
        <v>70</v>
      </c>
      <c r="M233" s="21"/>
      <c r="N233" s="21">
        <f t="shared" si="3"/>
        <v>0</v>
      </c>
    </row>
    <row r="234" ht="54" customHeight="1" spans="1:14">
      <c r="A234" s="10">
        <v>231</v>
      </c>
      <c r="B234" s="28" t="s">
        <v>577</v>
      </c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30"/>
      <c r="N234" s="31">
        <f>SUM(N4:N233)</f>
        <v>0</v>
      </c>
    </row>
    <row r="239" spans="4:4">
      <c r="D239" s="5"/>
    </row>
  </sheetData>
  <sheetProtection algorithmName="SHA-512" hashValue="AeRyiWXohio1/l7sCqSl+n/XOykT0uVURa/lfYkGS3zOdebK3SlcaNn6fX39jenuJ+wzMQHM8tdlZhcgNhSoUA==" saltValue="7D53Onjm9J9PUWXIC9rXmA==" spinCount="100000" sheet="1" objects="1"/>
  <autoFilter xmlns:etc="http://www.wps.cn/officeDocument/2017/etCustomData" ref="A2:N234" etc:filterBottomFollowUsedRange="0">
    <extLst/>
  </autoFilter>
  <mergeCells count="50">
    <mergeCell ref="A1:N1"/>
    <mergeCell ref="B234:M234"/>
    <mergeCell ref="A2:A3"/>
    <mergeCell ref="B2:B3"/>
    <mergeCell ref="C2:C3"/>
    <mergeCell ref="C105:C108"/>
    <mergeCell ref="C109:C112"/>
    <mergeCell ref="C113:C116"/>
    <mergeCell ref="C117:C120"/>
    <mergeCell ref="C121:C124"/>
    <mergeCell ref="D2:D3"/>
    <mergeCell ref="D105:D108"/>
    <mergeCell ref="D109:D112"/>
    <mergeCell ref="D113:D116"/>
    <mergeCell ref="D117:D120"/>
    <mergeCell ref="D121:D124"/>
    <mergeCell ref="E2:E3"/>
    <mergeCell ref="E105:E108"/>
    <mergeCell ref="E109:E112"/>
    <mergeCell ref="E113:E116"/>
    <mergeCell ref="E117:E120"/>
    <mergeCell ref="E121:E124"/>
    <mergeCell ref="E220:E223"/>
    <mergeCell ref="E224:E227"/>
    <mergeCell ref="E228:E231"/>
    <mergeCell ref="F2:F3"/>
    <mergeCell ref="F105:F108"/>
    <mergeCell ref="F109:F112"/>
    <mergeCell ref="F113:F116"/>
    <mergeCell ref="F117:F120"/>
    <mergeCell ref="F121:F124"/>
    <mergeCell ref="G2:G3"/>
    <mergeCell ref="G105:G108"/>
    <mergeCell ref="G109:G112"/>
    <mergeCell ref="G113:G116"/>
    <mergeCell ref="G117:G120"/>
    <mergeCell ref="G121:G124"/>
    <mergeCell ref="G211:G212"/>
    <mergeCell ref="H2:H3"/>
    <mergeCell ref="H105:H108"/>
    <mergeCell ref="H109:H112"/>
    <mergeCell ref="H113:H116"/>
    <mergeCell ref="H117:H120"/>
    <mergeCell ref="H121:H124"/>
    <mergeCell ref="I2:I3"/>
    <mergeCell ref="J2:J3"/>
    <mergeCell ref="K2:K3"/>
    <mergeCell ref="L2:L3"/>
    <mergeCell ref="M2:M3"/>
    <mergeCell ref="N2:N3"/>
  </mergeCells>
  <pageMargins left="0.708333333333333" right="0.708333333333333" top="0.393055555555556" bottom="0.393055555555556" header="0.314583333333333" footer="0.314583333333333"/>
  <pageSetup paperSize="9" scale="68" fitToHeight="0" orientation="landscape" horizontalDpi="600"/>
  <headerFooter/>
  <rowBreaks count="5" manualBreakCount="5">
    <brk id="104" max="16383" man="1"/>
    <brk id="120" max="16383" man="1"/>
    <brk id="216" max="16383" man="1"/>
    <brk id="223" max="16383" man="1"/>
    <brk id="23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，遇见</cp:lastModifiedBy>
  <dcterms:created xsi:type="dcterms:W3CDTF">2006-09-16T00:00:00Z</dcterms:created>
  <dcterms:modified xsi:type="dcterms:W3CDTF">2025-09-25T13:29:51Z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504CF481E6A9414BB2C325A52A7C190C_13</vt:lpwstr>
  </property>
  <property fmtid="{D5CDD505-2E9C-101B-9397-08002B2CF9AE}" pid="3" name="KSOProductBuildVer">
    <vt:lpwstr>2052-12.1.0.22529</vt:lpwstr>
  </property>
</Properties>
</file>